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Образка деревьев_Уборка валежника_29.10.2025\"/>
    </mc:Choice>
  </mc:AlternateContent>
  <xr:revisionPtr revIDLastSave="0" documentId="13_ncr:1_{A9B4AD9C-AD02-42F7-AB9D-CBDDBB84F18B}" xr6:coauthVersionLast="45" xr6:coauthVersionMax="45" xr10:uidLastSave="{00000000-0000-0000-0000-000000000000}"/>
  <bookViews>
    <workbookView xWindow="-38520" yWindow="-4665" windowWidth="38640" windowHeight="21120" xr2:uid="{00000000-000D-0000-FFFF-FFFF00000000}"/>
  </bookViews>
  <sheets>
    <sheet name="Смета СН-2012 по гл. 1-5" sheetId="7" r:id="rId1"/>
    <sheet name="Ведомость объемов работ" sheetId="8" r:id="rId2"/>
    <sheet name="Дефектная ведомость" sheetId="9" r:id="rId3"/>
    <sheet name="Акт КС-2 СН-2012 по гл. 1-" sheetId="10" r:id="rId4"/>
    <sheet name="RV_DATA" sheetId="12" state="hidden" r:id="rId5"/>
    <sheet name="Расчет стоимости ресурсов" sheetId="11" r:id="rId6"/>
    <sheet name="Макет форма-3" sheetId="13" r:id="rId7"/>
    <sheet name="Source" sheetId="1" r:id="rId8"/>
    <sheet name="SourceObSm" sheetId="2" r:id="rId9"/>
    <sheet name="SmtRes" sheetId="3" r:id="rId10"/>
    <sheet name="EtalonRes" sheetId="4" r:id="rId11"/>
    <sheet name="SrcPoprs" sheetId="5" r:id="rId12"/>
    <sheet name="SrcKA" sheetId="6" r:id="rId13"/>
  </sheets>
  <definedNames>
    <definedName name="_xlnm.Print_Titles" localSheetId="3">'Акт КС-2 СН-2012 по гл. 1-'!$36:$36</definedName>
    <definedName name="_xlnm.Print_Titles" localSheetId="1">'Ведомость объемов работ'!$17:$17</definedName>
    <definedName name="_xlnm.Print_Titles" localSheetId="2">'Дефектная ведомость'!$18:$18</definedName>
    <definedName name="_xlnm.Print_Titles" localSheetId="5">'Расчет стоимости ресурсов'!$4:$7</definedName>
    <definedName name="_xlnm.Print_Titles" localSheetId="0">'Смета СН-2012 по гл. 1-5'!$30:$30</definedName>
    <definedName name="_xlnm.Print_Area" localSheetId="3">'Акт КС-2 СН-2012 по гл. 1-'!$A$1:$L$143</definedName>
    <definedName name="_xlnm.Print_Area" localSheetId="1">'Ведомость объемов работ'!$A$1:$H$37</definedName>
    <definedName name="_xlnm.Print_Area" localSheetId="2">'Дефектная ведомость'!$A$1:$E$36</definedName>
    <definedName name="_xlnm.Print_Area" localSheetId="5">'Расчет стоимости ресурсов'!$A$1:$H$12</definedName>
    <definedName name="_xlnm.Print_Area" localSheetId="0">'Смета СН-2012 по гл. 1-5'!$A$1:$K$132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1" i="13" l="1"/>
  <c r="Z7" i="12"/>
  <c r="S7" i="12"/>
  <c r="P7" i="12"/>
  <c r="N7" i="12"/>
  <c r="G10" i="11" s="1"/>
  <c r="K7" i="12"/>
  <c r="E10" i="11" s="1"/>
  <c r="J7" i="12"/>
  <c r="H7" i="12"/>
  <c r="G7" i="12"/>
  <c r="F7" i="12"/>
  <c r="E7" i="12"/>
  <c r="G6" i="12"/>
  <c r="A6" i="12"/>
  <c r="I140" i="10"/>
  <c r="I137" i="10"/>
  <c r="D140" i="10"/>
  <c r="D137" i="10"/>
  <c r="D134" i="10"/>
  <c r="D133" i="10"/>
  <c r="D130" i="10"/>
  <c r="D129" i="10"/>
  <c r="J124" i="10"/>
  <c r="I124" i="10"/>
  <c r="H124" i="10"/>
  <c r="G124" i="10"/>
  <c r="J123" i="10"/>
  <c r="I123" i="10"/>
  <c r="H123" i="10"/>
  <c r="G123" i="10"/>
  <c r="F122" i="10"/>
  <c r="E122" i="10"/>
  <c r="D122" i="10"/>
  <c r="C122" i="10"/>
  <c r="J120" i="10"/>
  <c r="I120" i="10"/>
  <c r="H120" i="10"/>
  <c r="G120" i="10"/>
  <c r="J119" i="10"/>
  <c r="I119" i="10"/>
  <c r="H119" i="10"/>
  <c r="G119" i="10"/>
  <c r="F118" i="10"/>
  <c r="E118" i="10"/>
  <c r="D118" i="10"/>
  <c r="C118" i="10"/>
  <c r="I116" i="10"/>
  <c r="H116" i="10"/>
  <c r="F116" i="10"/>
  <c r="F115" i="10"/>
  <c r="F114" i="10"/>
  <c r="J113" i="10"/>
  <c r="I113" i="10"/>
  <c r="H113" i="10"/>
  <c r="G113" i="10"/>
  <c r="F112" i="10"/>
  <c r="E112" i="10"/>
  <c r="D112" i="10"/>
  <c r="C112" i="10"/>
  <c r="I110" i="10"/>
  <c r="H110" i="10"/>
  <c r="F110" i="10"/>
  <c r="F109" i="10"/>
  <c r="F108" i="10"/>
  <c r="J107" i="10"/>
  <c r="I107" i="10"/>
  <c r="H107" i="10"/>
  <c r="G107" i="10"/>
  <c r="F106" i="10"/>
  <c r="E106" i="10"/>
  <c r="D106" i="10"/>
  <c r="C106" i="10"/>
  <c r="I104" i="10"/>
  <c r="H104" i="10"/>
  <c r="F104" i="10"/>
  <c r="F103" i="10"/>
  <c r="F102" i="10"/>
  <c r="F101" i="10"/>
  <c r="J100" i="10"/>
  <c r="I100" i="10"/>
  <c r="H100" i="10"/>
  <c r="G100" i="10"/>
  <c r="J99" i="10"/>
  <c r="I99" i="10"/>
  <c r="H99" i="10"/>
  <c r="G99" i="10"/>
  <c r="J98" i="10"/>
  <c r="I98" i="10"/>
  <c r="H98" i="10"/>
  <c r="G98" i="10"/>
  <c r="F97" i="10"/>
  <c r="E97" i="10"/>
  <c r="D97" i="10"/>
  <c r="C97" i="10"/>
  <c r="I95" i="10"/>
  <c r="H95" i="10"/>
  <c r="F95" i="10"/>
  <c r="F94" i="10"/>
  <c r="F93" i="10"/>
  <c r="F92" i="10"/>
  <c r="J91" i="10"/>
  <c r="I91" i="10"/>
  <c r="H91" i="10"/>
  <c r="G91" i="10"/>
  <c r="J90" i="10"/>
  <c r="I90" i="10"/>
  <c r="H90" i="10"/>
  <c r="G90" i="10"/>
  <c r="J89" i="10"/>
  <c r="I89" i="10"/>
  <c r="H89" i="10"/>
  <c r="G89" i="10"/>
  <c r="F88" i="10"/>
  <c r="E88" i="10"/>
  <c r="D88" i="10"/>
  <c r="C88" i="10"/>
  <c r="I86" i="10"/>
  <c r="H86" i="10"/>
  <c r="F86" i="10"/>
  <c r="F85" i="10"/>
  <c r="F84" i="10"/>
  <c r="F83" i="10"/>
  <c r="J82" i="10"/>
  <c r="I82" i="10"/>
  <c r="H82" i="10"/>
  <c r="G82" i="10"/>
  <c r="J81" i="10"/>
  <c r="I81" i="10"/>
  <c r="H81" i="10"/>
  <c r="G81" i="10"/>
  <c r="J80" i="10"/>
  <c r="I80" i="10"/>
  <c r="H80" i="10"/>
  <c r="G80" i="10"/>
  <c r="F79" i="10"/>
  <c r="E79" i="10"/>
  <c r="D79" i="10"/>
  <c r="C79" i="10"/>
  <c r="I77" i="10"/>
  <c r="H77" i="10"/>
  <c r="F77" i="10"/>
  <c r="F76" i="10"/>
  <c r="F75" i="10"/>
  <c r="F74" i="10"/>
  <c r="J73" i="10"/>
  <c r="I73" i="10"/>
  <c r="H73" i="10"/>
  <c r="G73" i="10"/>
  <c r="J72" i="10"/>
  <c r="I72" i="10"/>
  <c r="H72" i="10"/>
  <c r="G72" i="10"/>
  <c r="J71" i="10"/>
  <c r="I71" i="10"/>
  <c r="H71" i="10"/>
  <c r="G71" i="10"/>
  <c r="J70" i="10"/>
  <c r="I70" i="10"/>
  <c r="H70" i="10"/>
  <c r="G70" i="10"/>
  <c r="F69" i="10"/>
  <c r="E69" i="10"/>
  <c r="D69" i="10"/>
  <c r="C69" i="10"/>
  <c r="I67" i="10"/>
  <c r="H67" i="10"/>
  <c r="F67" i="10"/>
  <c r="F66" i="10"/>
  <c r="F65" i="10"/>
  <c r="J64" i="10"/>
  <c r="I64" i="10"/>
  <c r="H64" i="10"/>
  <c r="G64" i="10"/>
  <c r="F63" i="10"/>
  <c r="E63" i="10"/>
  <c r="D63" i="10"/>
  <c r="C63" i="10"/>
  <c r="I61" i="10"/>
  <c r="H61" i="10"/>
  <c r="F61" i="10"/>
  <c r="F60" i="10"/>
  <c r="F59" i="10"/>
  <c r="F58" i="10"/>
  <c r="J57" i="10"/>
  <c r="I57" i="10"/>
  <c r="H57" i="10"/>
  <c r="G57" i="10"/>
  <c r="J56" i="10"/>
  <c r="I56" i="10"/>
  <c r="H56" i="10"/>
  <c r="G56" i="10"/>
  <c r="J55" i="10"/>
  <c r="I55" i="10"/>
  <c r="H55" i="10"/>
  <c r="G55" i="10"/>
  <c r="F54" i="10"/>
  <c r="E54" i="10"/>
  <c r="D54" i="10"/>
  <c r="C54" i="10"/>
  <c r="I52" i="10"/>
  <c r="H52" i="10"/>
  <c r="F52" i="10"/>
  <c r="F51" i="10"/>
  <c r="F50" i="10"/>
  <c r="J49" i="10"/>
  <c r="I49" i="10"/>
  <c r="H49" i="10"/>
  <c r="G49" i="10"/>
  <c r="F48" i="10"/>
  <c r="E48" i="10"/>
  <c r="D48" i="10"/>
  <c r="C48" i="10"/>
  <c r="I46" i="10"/>
  <c r="H46" i="10"/>
  <c r="F46" i="10"/>
  <c r="F45" i="10"/>
  <c r="F44" i="10"/>
  <c r="F43" i="10"/>
  <c r="J42" i="10"/>
  <c r="I42" i="10"/>
  <c r="H42" i="10"/>
  <c r="G42" i="10"/>
  <c r="J41" i="10"/>
  <c r="I41" i="10"/>
  <c r="H41" i="10"/>
  <c r="G41" i="10"/>
  <c r="J40" i="10"/>
  <c r="I40" i="10"/>
  <c r="H40" i="10"/>
  <c r="G40" i="10"/>
  <c r="F39" i="10"/>
  <c r="E39" i="10"/>
  <c r="D39" i="10"/>
  <c r="C39" i="10"/>
  <c r="A38" i="10"/>
  <c r="J26" i="10"/>
  <c r="I26" i="10"/>
  <c r="H26" i="10"/>
  <c r="G26" i="10"/>
  <c r="J22" i="10"/>
  <c r="J21" i="10"/>
  <c r="J20" i="10"/>
  <c r="J19" i="10"/>
  <c r="J16" i="10"/>
  <c r="C17" i="10"/>
  <c r="J14" i="10"/>
  <c r="J12" i="10"/>
  <c r="C13" i="10"/>
  <c r="J10" i="10"/>
  <c r="C11" i="10"/>
  <c r="J8" i="10"/>
  <c r="C9" i="10"/>
  <c r="A1" i="10"/>
  <c r="D31" i="9"/>
  <c r="C31" i="9"/>
  <c r="B31" i="9"/>
  <c r="D30" i="9"/>
  <c r="C30" i="9"/>
  <c r="B30" i="9"/>
  <c r="D29" i="9"/>
  <c r="C29" i="9"/>
  <c r="B29" i="9"/>
  <c r="D28" i="9"/>
  <c r="C28" i="9"/>
  <c r="B28" i="9"/>
  <c r="D27" i="9"/>
  <c r="C27" i="9"/>
  <c r="B27" i="9"/>
  <c r="D26" i="9"/>
  <c r="C26" i="9"/>
  <c r="B26" i="9"/>
  <c r="D25" i="9"/>
  <c r="C25" i="9"/>
  <c r="B25" i="9"/>
  <c r="D24" i="9"/>
  <c r="C24" i="9"/>
  <c r="B24" i="9"/>
  <c r="D23" i="9"/>
  <c r="C23" i="9"/>
  <c r="B23" i="9"/>
  <c r="D22" i="9"/>
  <c r="C22" i="9"/>
  <c r="B22" i="9"/>
  <c r="D21" i="9"/>
  <c r="C21" i="9"/>
  <c r="B21" i="9"/>
  <c r="D20" i="9"/>
  <c r="C20" i="9"/>
  <c r="B20" i="9"/>
  <c r="A19" i="9"/>
  <c r="A11" i="9"/>
  <c r="A1" i="9"/>
  <c r="D35" i="8"/>
  <c r="D33" i="8"/>
  <c r="G30" i="8"/>
  <c r="F30" i="8"/>
  <c r="E30" i="8"/>
  <c r="C30" i="8"/>
  <c r="B30" i="8"/>
  <c r="G29" i="8"/>
  <c r="F29" i="8"/>
  <c r="E29" i="8"/>
  <c r="C29" i="8"/>
  <c r="B29" i="8"/>
  <c r="G28" i="8"/>
  <c r="F28" i="8"/>
  <c r="E28" i="8"/>
  <c r="C28" i="8"/>
  <c r="B28" i="8"/>
  <c r="G27" i="8"/>
  <c r="F27" i="8"/>
  <c r="E27" i="8"/>
  <c r="C27" i="8"/>
  <c r="B27" i="8"/>
  <c r="G26" i="8"/>
  <c r="F26" i="8"/>
  <c r="E26" i="8"/>
  <c r="C26" i="8"/>
  <c r="B26" i="8"/>
  <c r="G25" i="8"/>
  <c r="F25" i="8"/>
  <c r="E25" i="8"/>
  <c r="C25" i="8"/>
  <c r="B25" i="8"/>
  <c r="G24" i="8"/>
  <c r="F24" i="8"/>
  <c r="E24" i="8"/>
  <c r="C24" i="8"/>
  <c r="B24" i="8"/>
  <c r="G23" i="8"/>
  <c r="F23" i="8"/>
  <c r="E23" i="8"/>
  <c r="C23" i="8"/>
  <c r="B23" i="8"/>
  <c r="G22" i="8"/>
  <c r="F22" i="8"/>
  <c r="E22" i="8"/>
  <c r="C22" i="8"/>
  <c r="B22" i="8"/>
  <c r="G21" i="8"/>
  <c r="F21" i="8"/>
  <c r="E21" i="8"/>
  <c r="C21" i="8"/>
  <c r="B21" i="8"/>
  <c r="G20" i="8"/>
  <c r="F20" i="8"/>
  <c r="E20" i="8"/>
  <c r="C20" i="8"/>
  <c r="B20" i="8"/>
  <c r="G19" i="8"/>
  <c r="F19" i="8"/>
  <c r="E19" i="8"/>
  <c r="C19" i="8"/>
  <c r="B19" i="8"/>
  <c r="A18" i="8"/>
  <c r="B12" i="8"/>
  <c r="A1" i="8"/>
  <c r="H130" i="7"/>
  <c r="H127" i="7"/>
  <c r="C130" i="7"/>
  <c r="C127" i="7"/>
  <c r="C124" i="7"/>
  <c r="C123" i="7"/>
  <c r="I116" i="7"/>
  <c r="H116" i="7"/>
  <c r="G116" i="7"/>
  <c r="F116" i="7"/>
  <c r="I115" i="7"/>
  <c r="H115" i="7"/>
  <c r="G115" i="7"/>
  <c r="F115" i="7"/>
  <c r="E114" i="7"/>
  <c r="D114" i="7"/>
  <c r="C114" i="7"/>
  <c r="B114" i="7"/>
  <c r="I112" i="7"/>
  <c r="H112" i="7"/>
  <c r="G112" i="7"/>
  <c r="F112" i="7"/>
  <c r="I111" i="7"/>
  <c r="H111" i="7"/>
  <c r="G111" i="7"/>
  <c r="F111" i="7"/>
  <c r="E110" i="7"/>
  <c r="D110" i="7"/>
  <c r="C110" i="7"/>
  <c r="B110" i="7"/>
  <c r="H108" i="7"/>
  <c r="G108" i="7"/>
  <c r="E108" i="7"/>
  <c r="E107" i="7"/>
  <c r="E106" i="7"/>
  <c r="I105" i="7"/>
  <c r="H105" i="7"/>
  <c r="G105" i="7"/>
  <c r="F105" i="7"/>
  <c r="E104" i="7"/>
  <c r="D104" i="7"/>
  <c r="C104" i="7"/>
  <c r="B104" i="7"/>
  <c r="H102" i="7"/>
  <c r="G102" i="7"/>
  <c r="E102" i="7"/>
  <c r="E101" i="7"/>
  <c r="E100" i="7"/>
  <c r="I99" i="7"/>
  <c r="H99" i="7"/>
  <c r="G99" i="7"/>
  <c r="F99" i="7"/>
  <c r="E98" i="7"/>
  <c r="D98" i="7"/>
  <c r="C98" i="7"/>
  <c r="B98" i="7"/>
  <c r="H96" i="7"/>
  <c r="G96" i="7"/>
  <c r="E96" i="7"/>
  <c r="E95" i="7"/>
  <c r="E94" i="7"/>
  <c r="E93" i="7"/>
  <c r="I92" i="7"/>
  <c r="H92" i="7"/>
  <c r="G92" i="7"/>
  <c r="F92" i="7"/>
  <c r="I91" i="7"/>
  <c r="H91" i="7"/>
  <c r="G91" i="7"/>
  <c r="F91" i="7"/>
  <c r="I90" i="7"/>
  <c r="H90" i="7"/>
  <c r="G90" i="7"/>
  <c r="F90" i="7"/>
  <c r="E89" i="7"/>
  <c r="D89" i="7"/>
  <c r="C89" i="7"/>
  <c r="B89" i="7"/>
  <c r="H87" i="7"/>
  <c r="G87" i="7"/>
  <c r="E87" i="7"/>
  <c r="E86" i="7"/>
  <c r="E85" i="7"/>
  <c r="E84" i="7"/>
  <c r="I83" i="7"/>
  <c r="H83" i="7"/>
  <c r="G83" i="7"/>
  <c r="F83" i="7"/>
  <c r="I82" i="7"/>
  <c r="H82" i="7"/>
  <c r="G82" i="7"/>
  <c r="F82" i="7"/>
  <c r="I81" i="7"/>
  <c r="H81" i="7"/>
  <c r="G81" i="7"/>
  <c r="F81" i="7"/>
  <c r="E80" i="7"/>
  <c r="D80" i="7"/>
  <c r="C80" i="7"/>
  <c r="B80" i="7"/>
  <c r="H78" i="7"/>
  <c r="G78" i="7"/>
  <c r="E78" i="7"/>
  <c r="E77" i="7"/>
  <c r="E76" i="7"/>
  <c r="E75" i="7"/>
  <c r="I74" i="7"/>
  <c r="H74" i="7"/>
  <c r="G74" i="7"/>
  <c r="F74" i="7"/>
  <c r="I73" i="7"/>
  <c r="H73" i="7"/>
  <c r="G73" i="7"/>
  <c r="F73" i="7"/>
  <c r="I72" i="7"/>
  <c r="H72" i="7"/>
  <c r="G72" i="7"/>
  <c r="F72" i="7"/>
  <c r="E71" i="7"/>
  <c r="D71" i="7"/>
  <c r="C71" i="7"/>
  <c r="B71" i="7"/>
  <c r="H69" i="7"/>
  <c r="G69" i="7"/>
  <c r="E69" i="7"/>
  <c r="E68" i="7"/>
  <c r="E67" i="7"/>
  <c r="E66" i="7"/>
  <c r="I65" i="7"/>
  <c r="H65" i="7"/>
  <c r="G65" i="7"/>
  <c r="F65" i="7"/>
  <c r="I64" i="7"/>
  <c r="H64" i="7"/>
  <c r="G64" i="7"/>
  <c r="F64" i="7"/>
  <c r="I63" i="7"/>
  <c r="H63" i="7"/>
  <c r="G63" i="7"/>
  <c r="F63" i="7"/>
  <c r="I62" i="7"/>
  <c r="H62" i="7"/>
  <c r="G62" i="7"/>
  <c r="F62" i="7"/>
  <c r="E61" i="7"/>
  <c r="D61" i="7"/>
  <c r="C61" i="7"/>
  <c r="B61" i="7"/>
  <c r="H59" i="7"/>
  <c r="G59" i="7"/>
  <c r="E59" i="7"/>
  <c r="E58" i="7"/>
  <c r="E57" i="7"/>
  <c r="I56" i="7"/>
  <c r="H56" i="7"/>
  <c r="G56" i="7"/>
  <c r="F56" i="7"/>
  <c r="E55" i="7"/>
  <c r="D55" i="7"/>
  <c r="C55" i="7"/>
  <c r="B55" i="7"/>
  <c r="H53" i="7"/>
  <c r="G53" i="7"/>
  <c r="E53" i="7"/>
  <c r="E52" i="7"/>
  <c r="E51" i="7"/>
  <c r="E50" i="7"/>
  <c r="I49" i="7"/>
  <c r="H49" i="7"/>
  <c r="G49" i="7"/>
  <c r="F49" i="7"/>
  <c r="I48" i="7"/>
  <c r="H48" i="7"/>
  <c r="G48" i="7"/>
  <c r="F48" i="7"/>
  <c r="I47" i="7"/>
  <c r="H47" i="7"/>
  <c r="G47" i="7"/>
  <c r="F47" i="7"/>
  <c r="E46" i="7"/>
  <c r="D46" i="7"/>
  <c r="C46" i="7"/>
  <c r="B46" i="7"/>
  <c r="H44" i="7"/>
  <c r="G44" i="7"/>
  <c r="E44" i="7"/>
  <c r="E43" i="7"/>
  <c r="E42" i="7"/>
  <c r="I41" i="7"/>
  <c r="H41" i="7"/>
  <c r="G41" i="7"/>
  <c r="F41" i="7"/>
  <c r="E40" i="7"/>
  <c r="D40" i="7"/>
  <c r="C40" i="7"/>
  <c r="B40" i="7"/>
  <c r="H38" i="7"/>
  <c r="G38" i="7"/>
  <c r="E38" i="7"/>
  <c r="E37" i="7"/>
  <c r="E36" i="7"/>
  <c r="E35" i="7"/>
  <c r="I34" i="7"/>
  <c r="H34" i="7"/>
  <c r="G34" i="7"/>
  <c r="F34" i="7"/>
  <c r="I33" i="7"/>
  <c r="H33" i="7"/>
  <c r="G33" i="7"/>
  <c r="F33" i="7"/>
  <c r="I32" i="7"/>
  <c r="H32" i="7"/>
  <c r="G32" i="7"/>
  <c r="F32" i="7"/>
  <c r="E31" i="7"/>
  <c r="D31" i="7"/>
  <c r="C31" i="7"/>
  <c r="B31" i="7"/>
  <c r="A18" i="7"/>
  <c r="A13" i="7"/>
  <c r="A10" i="7"/>
  <c r="G6" i="7"/>
  <c r="B6" i="7"/>
  <c r="A1" i="7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1" i="3"/>
  <c r="Y1" i="3"/>
  <c r="CU1" i="3"/>
  <c r="CV1" i="3"/>
  <c r="CX1" i="3"/>
  <c r="DF1" i="3" s="1"/>
  <c r="CY1" i="3"/>
  <c r="CZ1" i="3"/>
  <c r="DA1" i="3"/>
  <c r="DB1" i="3"/>
  <c r="DC1" i="3"/>
  <c r="A2" i="3"/>
  <c r="Y2" i="3"/>
  <c r="CW2" i="3" s="1"/>
  <c r="CX2" i="3"/>
  <c r="CY2" i="3"/>
  <c r="CZ2" i="3"/>
  <c r="DA2" i="3"/>
  <c r="DB2" i="3"/>
  <c r="DC2" i="3"/>
  <c r="DF2" i="3"/>
  <c r="DG2" i="3"/>
  <c r="DH2" i="3"/>
  <c r="DI2" i="3"/>
  <c r="DJ2" i="3"/>
  <c r="A3" i="3"/>
  <c r="Y3" i="3"/>
  <c r="CU3" i="3"/>
  <c r="CV3" i="3"/>
  <c r="CX3" i="3"/>
  <c r="DG3" i="3" s="1"/>
  <c r="CY3" i="3"/>
  <c r="CZ3" i="3"/>
  <c r="DA3" i="3"/>
  <c r="DB3" i="3"/>
  <c r="DC3" i="3"/>
  <c r="A4" i="3"/>
  <c r="Y4" i="3"/>
  <c r="CU4" i="3"/>
  <c r="CV4" i="3"/>
  <c r="CX4" i="3"/>
  <c r="DH4" i="3" s="1"/>
  <c r="CY4" i="3"/>
  <c r="CZ4" i="3"/>
  <c r="DA4" i="3"/>
  <c r="DB4" i="3"/>
  <c r="DC4" i="3"/>
  <c r="DF4" i="3"/>
  <c r="DG4" i="3"/>
  <c r="A5" i="3"/>
  <c r="Y5" i="3"/>
  <c r="CW5" i="3"/>
  <c r="CX5" i="3"/>
  <c r="CY5" i="3"/>
  <c r="CZ5" i="3"/>
  <c r="DA5" i="3"/>
  <c r="DB5" i="3"/>
  <c r="DC5" i="3"/>
  <c r="DF5" i="3"/>
  <c r="DG5" i="3"/>
  <c r="DH5" i="3"/>
  <c r="DI5" i="3"/>
  <c r="DJ5" i="3"/>
  <c r="A6" i="3"/>
  <c r="Y6" i="3"/>
  <c r="CU6" i="3"/>
  <c r="CV6" i="3"/>
  <c r="CX6" i="3"/>
  <c r="DF6" i="3" s="1"/>
  <c r="CY6" i="3"/>
  <c r="CZ6" i="3"/>
  <c r="DA6" i="3"/>
  <c r="DB6" i="3"/>
  <c r="DC6" i="3"/>
  <c r="A7" i="3"/>
  <c r="Y7" i="3"/>
  <c r="CU7" i="3"/>
  <c r="CV7" i="3"/>
  <c r="CX7" i="3"/>
  <c r="DI7" i="3" s="1"/>
  <c r="DJ7" i="3" s="1"/>
  <c r="CY7" i="3"/>
  <c r="CZ7" i="3"/>
  <c r="DA7" i="3"/>
  <c r="DB7" i="3"/>
  <c r="DC7" i="3"/>
  <c r="DF7" i="3"/>
  <c r="DG7" i="3"/>
  <c r="DH7" i="3"/>
  <c r="A8" i="3"/>
  <c r="Y8" i="3"/>
  <c r="CW8" i="3" s="1"/>
  <c r="CX8" i="3"/>
  <c r="CY8" i="3"/>
  <c r="CZ8" i="3"/>
  <c r="DA8" i="3"/>
  <c r="DB8" i="3"/>
  <c r="DC8" i="3"/>
  <c r="DF8" i="3"/>
  <c r="DG8" i="3"/>
  <c r="DH8" i="3"/>
  <c r="DI8" i="3"/>
  <c r="DJ8" i="3"/>
  <c r="A9" i="3"/>
  <c r="Y9" i="3"/>
  <c r="CW9" i="3" s="1"/>
  <c r="CX9" i="3"/>
  <c r="DG9" i="3" s="1"/>
  <c r="DJ9" i="3" s="1"/>
  <c r="CY9" i="3"/>
  <c r="CZ9" i="3"/>
  <c r="DA9" i="3"/>
  <c r="DB9" i="3"/>
  <c r="DC9" i="3"/>
  <c r="A10" i="3"/>
  <c r="Y10" i="3"/>
  <c r="CW10" i="3" s="1"/>
  <c r="CX10" i="3"/>
  <c r="DG10" i="3" s="1"/>
  <c r="DJ10" i="3" s="1"/>
  <c r="CY10" i="3"/>
  <c r="CZ10" i="3"/>
  <c r="DA10" i="3"/>
  <c r="DB10" i="3"/>
  <c r="DC10" i="3"/>
  <c r="DF10" i="3"/>
  <c r="DH10" i="3"/>
  <c r="A11" i="3"/>
  <c r="Y11" i="3"/>
  <c r="CY11" i="3"/>
  <c r="CZ11" i="3"/>
  <c r="DA11" i="3"/>
  <c r="DB11" i="3"/>
  <c r="L7" i="12" s="1"/>
  <c r="DC11" i="3"/>
  <c r="Q7" i="12" s="1"/>
  <c r="T7" i="12" s="1"/>
  <c r="A12" i="3"/>
  <c r="Y12" i="3"/>
  <c r="CV12" i="3" s="1"/>
  <c r="CU12" i="3"/>
  <c r="CY12" i="3"/>
  <c r="CZ12" i="3"/>
  <c r="DA12" i="3"/>
  <c r="DB12" i="3"/>
  <c r="DC12" i="3"/>
  <c r="A13" i="3"/>
  <c r="Y13" i="3"/>
  <c r="CW13" i="3" s="1"/>
  <c r="CX13" i="3"/>
  <c r="DG13" i="3" s="1"/>
  <c r="DJ13" i="3" s="1"/>
  <c r="CY13" i="3"/>
  <c r="CZ13" i="3"/>
  <c r="DA13" i="3"/>
  <c r="DB13" i="3"/>
  <c r="DC13" i="3"/>
  <c r="DF13" i="3"/>
  <c r="DH13" i="3"/>
  <c r="A14" i="3"/>
  <c r="Y14" i="3"/>
  <c r="CW14" i="3" s="1"/>
  <c r="CY14" i="3"/>
  <c r="CZ14" i="3"/>
  <c r="DA14" i="3"/>
  <c r="DB14" i="3"/>
  <c r="DC14" i="3"/>
  <c r="A15" i="3"/>
  <c r="Y15" i="3"/>
  <c r="CX15" i="3" s="1"/>
  <c r="CU15" i="3"/>
  <c r="CV15" i="3"/>
  <c r="CY15" i="3"/>
  <c r="CZ15" i="3"/>
  <c r="DA15" i="3"/>
  <c r="DB15" i="3"/>
  <c r="DC15" i="3"/>
  <c r="A16" i="3"/>
  <c r="Y16" i="3"/>
  <c r="CW16" i="3"/>
  <c r="CX16" i="3"/>
  <c r="DH16" i="3" s="1"/>
  <c r="CY16" i="3"/>
  <c r="CZ16" i="3"/>
  <c r="DA16" i="3"/>
  <c r="DB16" i="3"/>
  <c r="DC16" i="3"/>
  <c r="A17" i="3"/>
  <c r="Y17" i="3"/>
  <c r="CW17" i="3"/>
  <c r="CX17" i="3"/>
  <c r="DG17" i="3" s="1"/>
  <c r="CY17" i="3"/>
  <c r="CZ17" i="3"/>
  <c r="DA17" i="3"/>
  <c r="DB17" i="3"/>
  <c r="DC17" i="3"/>
  <c r="DF17" i="3"/>
  <c r="DH17" i="3"/>
  <c r="DJ17" i="3"/>
  <c r="A18" i="3"/>
  <c r="Y18" i="3"/>
  <c r="CX18" i="3" s="1"/>
  <c r="DI18" i="3" s="1"/>
  <c r="DJ18" i="3" s="1"/>
  <c r="CU18" i="3"/>
  <c r="CY18" i="3"/>
  <c r="CZ18" i="3"/>
  <c r="DA18" i="3"/>
  <c r="DB18" i="3"/>
  <c r="DC18" i="3"/>
  <c r="A19" i="3"/>
  <c r="Y19" i="3"/>
  <c r="CW19" i="3"/>
  <c r="CX19" i="3"/>
  <c r="CY19" i="3"/>
  <c r="CZ19" i="3"/>
  <c r="DA19" i="3"/>
  <c r="DB19" i="3"/>
  <c r="DC19" i="3"/>
  <c r="DF19" i="3"/>
  <c r="DG19" i="3"/>
  <c r="DJ19" i="3" s="1"/>
  <c r="DH19" i="3"/>
  <c r="DI19" i="3"/>
  <c r="A20" i="3"/>
  <c r="Y20" i="3"/>
  <c r="CW20" i="3"/>
  <c r="CX20" i="3"/>
  <c r="CY20" i="3"/>
  <c r="CZ20" i="3"/>
  <c r="DA20" i="3"/>
  <c r="DB20" i="3"/>
  <c r="DC20" i="3"/>
  <c r="DF20" i="3"/>
  <c r="DG20" i="3"/>
  <c r="DJ20" i="3" s="1"/>
  <c r="DH20" i="3"/>
  <c r="DI20" i="3"/>
  <c r="A21" i="3"/>
  <c r="Y21" i="3"/>
  <c r="CU21" i="3"/>
  <c r="CV21" i="3"/>
  <c r="CX21" i="3"/>
  <c r="DF21" i="3" s="1"/>
  <c r="CY21" i="3"/>
  <c r="CZ21" i="3"/>
  <c r="DA21" i="3"/>
  <c r="DB21" i="3"/>
  <c r="DC21" i="3"/>
  <c r="A22" i="3"/>
  <c r="Y22" i="3"/>
  <c r="CX22" i="3" s="1"/>
  <c r="CU22" i="3"/>
  <c r="CV22" i="3"/>
  <c r="CY22" i="3"/>
  <c r="CZ22" i="3"/>
  <c r="DA22" i="3"/>
  <c r="DB22" i="3"/>
  <c r="DC22" i="3"/>
  <c r="DG22" i="3"/>
  <c r="DI22" i="3"/>
  <c r="DJ22" i="3" s="1"/>
  <c r="A23" i="3"/>
  <c r="Y23" i="3"/>
  <c r="CW23" i="3"/>
  <c r="CX23" i="3"/>
  <c r="DI23" i="3" s="1"/>
  <c r="CY23" i="3"/>
  <c r="CZ23" i="3"/>
  <c r="DA23" i="3"/>
  <c r="DB23" i="3"/>
  <c r="DC23" i="3"/>
  <c r="A24" i="3"/>
  <c r="Y24" i="3"/>
  <c r="CW24" i="3"/>
  <c r="CX24" i="3"/>
  <c r="CY24" i="3"/>
  <c r="CZ24" i="3"/>
  <c r="DA24" i="3"/>
  <c r="DB24" i="3"/>
  <c r="DC24" i="3"/>
  <c r="DF24" i="3"/>
  <c r="DG24" i="3"/>
  <c r="DJ24" i="3" s="1"/>
  <c r="DH24" i="3"/>
  <c r="DI24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C24" i="1"/>
  <c r="D24" i="1"/>
  <c r="U24" i="1"/>
  <c r="AC24" i="1"/>
  <c r="AE24" i="1"/>
  <c r="AF24" i="1"/>
  <c r="AG24" i="1"/>
  <c r="CU24" i="1" s="1"/>
  <c r="T24" i="1" s="1"/>
  <c r="AH24" i="1"/>
  <c r="AI24" i="1"/>
  <c r="CW24" i="1" s="1"/>
  <c r="V24" i="1" s="1"/>
  <c r="AJ24" i="1"/>
  <c r="CT24" i="1"/>
  <c r="S24" i="1" s="1"/>
  <c r="CV24" i="1"/>
  <c r="CX24" i="1"/>
  <c r="W24" i="1" s="1"/>
  <c r="FR24" i="1"/>
  <c r="GL24" i="1"/>
  <c r="GN24" i="1"/>
  <c r="GO24" i="1"/>
  <c r="GV24" i="1"/>
  <c r="HC24" i="1"/>
  <c r="GX24" i="1" s="1"/>
  <c r="C25" i="1"/>
  <c r="D25" i="1"/>
  <c r="AC25" i="1"/>
  <c r="AE25" i="1"/>
  <c r="CR25" i="1" s="1"/>
  <c r="Q25" i="1" s="1"/>
  <c r="AF25" i="1"/>
  <c r="AG25" i="1"/>
  <c r="CU25" i="1" s="1"/>
  <c r="T25" i="1" s="1"/>
  <c r="AH25" i="1"/>
  <c r="CV25" i="1" s="1"/>
  <c r="U25" i="1" s="1"/>
  <c r="AI25" i="1"/>
  <c r="CW25" i="1" s="1"/>
  <c r="V25" i="1" s="1"/>
  <c r="AJ25" i="1"/>
  <c r="CX25" i="1"/>
  <c r="W25" i="1" s="1"/>
  <c r="FR25" i="1"/>
  <c r="GL25" i="1"/>
  <c r="GN25" i="1"/>
  <c r="GO25" i="1"/>
  <c r="GV25" i="1"/>
  <c r="HC25" i="1"/>
  <c r="GX25" i="1" s="1"/>
  <c r="C26" i="1"/>
  <c r="D26" i="1"/>
  <c r="AC26" i="1"/>
  <c r="CQ26" i="1" s="1"/>
  <c r="P26" i="1" s="1"/>
  <c r="AE26" i="1"/>
  <c r="AF26" i="1"/>
  <c r="AG26" i="1"/>
  <c r="CU26" i="1" s="1"/>
  <c r="T26" i="1" s="1"/>
  <c r="AH26" i="1"/>
  <c r="CV26" i="1" s="1"/>
  <c r="U26" i="1" s="1"/>
  <c r="AI26" i="1"/>
  <c r="CW26" i="1" s="1"/>
  <c r="V26" i="1" s="1"/>
  <c r="AJ26" i="1"/>
  <c r="CX26" i="1" s="1"/>
  <c r="W26" i="1" s="1"/>
  <c r="FR26" i="1"/>
  <c r="GL26" i="1"/>
  <c r="GN26" i="1"/>
  <c r="GO26" i="1"/>
  <c r="GV26" i="1"/>
  <c r="HC26" i="1"/>
  <c r="GX26" i="1" s="1"/>
  <c r="C27" i="1"/>
  <c r="D27" i="1"/>
  <c r="AC27" i="1"/>
  <c r="AE27" i="1"/>
  <c r="AF27" i="1"/>
  <c r="AG27" i="1"/>
  <c r="CU27" i="1" s="1"/>
  <c r="T27" i="1" s="1"/>
  <c r="AH27" i="1"/>
  <c r="CV27" i="1" s="1"/>
  <c r="U27" i="1" s="1"/>
  <c r="AI27" i="1"/>
  <c r="CW27" i="1" s="1"/>
  <c r="V27" i="1" s="1"/>
  <c r="AJ27" i="1"/>
  <c r="CX27" i="1" s="1"/>
  <c r="W27" i="1" s="1"/>
  <c r="CR27" i="1"/>
  <c r="Q27" i="1" s="1"/>
  <c r="FR27" i="1"/>
  <c r="GL27" i="1"/>
  <c r="GN27" i="1"/>
  <c r="GO27" i="1"/>
  <c r="GV27" i="1"/>
  <c r="HC27" i="1"/>
  <c r="GX27" i="1" s="1"/>
  <c r="C28" i="1"/>
  <c r="D28" i="1"/>
  <c r="AC28" i="1"/>
  <c r="CQ28" i="1" s="1"/>
  <c r="P28" i="1" s="1"/>
  <c r="AE28" i="1"/>
  <c r="AF28" i="1"/>
  <c r="AG28" i="1"/>
  <c r="CU28" i="1" s="1"/>
  <c r="T28" i="1" s="1"/>
  <c r="AH28" i="1"/>
  <c r="CV28" i="1" s="1"/>
  <c r="U28" i="1" s="1"/>
  <c r="AI28" i="1"/>
  <c r="CW28" i="1" s="1"/>
  <c r="V28" i="1" s="1"/>
  <c r="AJ28" i="1"/>
  <c r="CX28" i="1" s="1"/>
  <c r="W28" i="1" s="1"/>
  <c r="FR28" i="1"/>
  <c r="GL28" i="1"/>
  <c r="GN28" i="1"/>
  <c r="GO28" i="1"/>
  <c r="GV28" i="1"/>
  <c r="HC28" i="1"/>
  <c r="GX28" i="1" s="1"/>
  <c r="C29" i="1"/>
  <c r="D29" i="1"/>
  <c r="AC29" i="1"/>
  <c r="AE29" i="1"/>
  <c r="AF29" i="1"/>
  <c r="AG29" i="1"/>
  <c r="CU29" i="1" s="1"/>
  <c r="T29" i="1" s="1"/>
  <c r="AH29" i="1"/>
  <c r="CV29" i="1" s="1"/>
  <c r="U29" i="1" s="1"/>
  <c r="AI29" i="1"/>
  <c r="CW29" i="1" s="1"/>
  <c r="V29" i="1" s="1"/>
  <c r="AJ29" i="1"/>
  <c r="CX29" i="1" s="1"/>
  <c r="W29" i="1" s="1"/>
  <c r="FR29" i="1"/>
  <c r="GL29" i="1"/>
  <c r="GN29" i="1"/>
  <c r="GO29" i="1"/>
  <c r="GV29" i="1"/>
  <c r="HC29" i="1"/>
  <c r="GX29" i="1" s="1"/>
  <c r="C30" i="1"/>
  <c r="D30" i="1"/>
  <c r="AC30" i="1"/>
  <c r="AE30" i="1"/>
  <c r="AF30" i="1"/>
  <c r="AG30" i="1"/>
  <c r="CU30" i="1" s="1"/>
  <c r="T30" i="1" s="1"/>
  <c r="AH30" i="1"/>
  <c r="CV30" i="1" s="1"/>
  <c r="U30" i="1" s="1"/>
  <c r="AI30" i="1"/>
  <c r="CW30" i="1" s="1"/>
  <c r="V30" i="1" s="1"/>
  <c r="AJ30" i="1"/>
  <c r="CX30" i="1" s="1"/>
  <c r="W30" i="1" s="1"/>
  <c r="CQ30" i="1"/>
  <c r="P30" i="1" s="1"/>
  <c r="CR30" i="1"/>
  <c r="Q30" i="1" s="1"/>
  <c r="FR30" i="1"/>
  <c r="GL30" i="1"/>
  <c r="GN30" i="1"/>
  <c r="GO30" i="1"/>
  <c r="GV30" i="1"/>
  <c r="HC30" i="1"/>
  <c r="GX30" i="1" s="1"/>
  <c r="C31" i="1"/>
  <c r="D31" i="1"/>
  <c r="AC31" i="1"/>
  <c r="AE31" i="1"/>
  <c r="AF31" i="1"/>
  <c r="AG31" i="1"/>
  <c r="CU31" i="1" s="1"/>
  <c r="T31" i="1" s="1"/>
  <c r="AH31" i="1"/>
  <c r="AI31" i="1"/>
  <c r="CW31" i="1" s="1"/>
  <c r="V31" i="1" s="1"/>
  <c r="AJ31" i="1"/>
  <c r="CX31" i="1" s="1"/>
  <c r="W31" i="1" s="1"/>
  <c r="CR31" i="1"/>
  <c r="Q31" i="1" s="1"/>
  <c r="CT31" i="1"/>
  <c r="S31" i="1" s="1"/>
  <c r="CV31" i="1"/>
  <c r="U31" i="1" s="1"/>
  <c r="FR31" i="1"/>
  <c r="GL31" i="1"/>
  <c r="GN31" i="1"/>
  <c r="GO31" i="1"/>
  <c r="GV31" i="1"/>
  <c r="HC31" i="1"/>
  <c r="GX31" i="1" s="1"/>
  <c r="C32" i="1"/>
  <c r="D32" i="1"/>
  <c r="AC32" i="1"/>
  <c r="AE32" i="1"/>
  <c r="AF32" i="1"/>
  <c r="AG32" i="1"/>
  <c r="AH32" i="1"/>
  <c r="CV32" i="1" s="1"/>
  <c r="U32" i="1" s="1"/>
  <c r="AI32" i="1"/>
  <c r="AJ32" i="1"/>
  <c r="CX32" i="1" s="1"/>
  <c r="W32" i="1" s="1"/>
  <c r="CQ32" i="1"/>
  <c r="P32" i="1" s="1"/>
  <c r="CR32" i="1"/>
  <c r="Q32" i="1" s="1"/>
  <c r="CS32" i="1"/>
  <c r="CU32" i="1"/>
  <c r="T32" i="1" s="1"/>
  <c r="CW32" i="1"/>
  <c r="V32" i="1" s="1"/>
  <c r="FR32" i="1"/>
  <c r="GL32" i="1"/>
  <c r="GN32" i="1"/>
  <c r="GO32" i="1"/>
  <c r="GV32" i="1"/>
  <c r="HC32" i="1"/>
  <c r="GX32" i="1" s="1"/>
  <c r="C33" i="1"/>
  <c r="D33" i="1"/>
  <c r="AC33" i="1"/>
  <c r="AE33" i="1"/>
  <c r="AF33" i="1"/>
  <c r="AG33" i="1"/>
  <c r="CU33" i="1" s="1"/>
  <c r="T33" i="1" s="1"/>
  <c r="AH33" i="1"/>
  <c r="AI33" i="1"/>
  <c r="CW33" i="1" s="1"/>
  <c r="V33" i="1" s="1"/>
  <c r="AJ33" i="1"/>
  <c r="CR33" i="1"/>
  <c r="Q33" i="1" s="1"/>
  <c r="CT33" i="1"/>
  <c r="S33" i="1" s="1"/>
  <c r="CV33" i="1"/>
  <c r="U33" i="1" s="1"/>
  <c r="CX33" i="1"/>
  <c r="W33" i="1" s="1"/>
  <c r="FR33" i="1"/>
  <c r="GL33" i="1"/>
  <c r="BZ37" i="1" s="1"/>
  <c r="BZ22" i="1" s="1"/>
  <c r="GN33" i="1"/>
  <c r="GO33" i="1"/>
  <c r="GV33" i="1"/>
  <c r="HC33" i="1" s="1"/>
  <c r="GX33" i="1" s="1"/>
  <c r="C34" i="1"/>
  <c r="D34" i="1"/>
  <c r="AC34" i="1"/>
  <c r="AE34" i="1"/>
  <c r="AD34" i="1" s="1"/>
  <c r="AB34" i="1" s="1"/>
  <c r="AF34" i="1"/>
  <c r="AG34" i="1"/>
  <c r="AH34" i="1"/>
  <c r="CV34" i="1" s="1"/>
  <c r="U34" i="1" s="1"/>
  <c r="AI34" i="1"/>
  <c r="AJ34" i="1"/>
  <c r="CX34" i="1" s="1"/>
  <c r="W34" i="1" s="1"/>
  <c r="CQ34" i="1"/>
  <c r="P34" i="1" s="1"/>
  <c r="CR34" i="1"/>
  <c r="Q34" i="1" s="1"/>
  <c r="CS34" i="1"/>
  <c r="CU34" i="1"/>
  <c r="T34" i="1" s="1"/>
  <c r="CW34" i="1"/>
  <c r="V34" i="1" s="1"/>
  <c r="FR34" i="1"/>
  <c r="GL34" i="1"/>
  <c r="GN34" i="1"/>
  <c r="GO34" i="1"/>
  <c r="GV34" i="1"/>
  <c r="HC34" i="1"/>
  <c r="GX34" i="1" s="1"/>
  <c r="C35" i="1"/>
  <c r="D35" i="1"/>
  <c r="AC35" i="1"/>
  <c r="AE35" i="1"/>
  <c r="AD35" i="1" s="1"/>
  <c r="AB35" i="1" s="1"/>
  <c r="AF35" i="1"/>
  <c r="AG35" i="1"/>
  <c r="AH35" i="1"/>
  <c r="CV35" i="1" s="1"/>
  <c r="U35" i="1" s="1"/>
  <c r="AI35" i="1"/>
  <c r="AJ35" i="1"/>
  <c r="CX35" i="1" s="1"/>
  <c r="W35" i="1" s="1"/>
  <c r="CQ35" i="1"/>
  <c r="P35" i="1" s="1"/>
  <c r="CR35" i="1"/>
  <c r="Q35" i="1" s="1"/>
  <c r="CS35" i="1"/>
  <c r="CU35" i="1"/>
  <c r="T35" i="1" s="1"/>
  <c r="CW35" i="1"/>
  <c r="V35" i="1" s="1"/>
  <c r="FR35" i="1"/>
  <c r="GL35" i="1"/>
  <c r="GN35" i="1"/>
  <c r="GO35" i="1"/>
  <c r="CC37" i="1" s="1"/>
  <c r="CC22" i="1" s="1"/>
  <c r="GV35" i="1"/>
  <c r="HC35" i="1"/>
  <c r="GX35" i="1" s="1"/>
  <c r="B37" i="1"/>
  <c r="B22" i="1" s="1"/>
  <c r="C37" i="1"/>
  <c r="C22" i="1" s="1"/>
  <c r="D37" i="1"/>
  <c r="D22" i="1" s="1"/>
  <c r="F37" i="1"/>
  <c r="F22" i="1" s="1"/>
  <c r="G37" i="1"/>
  <c r="BX37" i="1"/>
  <c r="BX22" i="1" s="1"/>
  <c r="BY37" i="1"/>
  <c r="BY22" i="1" s="1"/>
  <c r="CB37" i="1"/>
  <c r="CB22" i="1" s="1"/>
  <c r="CK37" i="1"/>
  <c r="CK22" i="1" s="1"/>
  <c r="CL37" i="1"/>
  <c r="CL22" i="1" s="1"/>
  <c r="CM37" i="1"/>
  <c r="CM22" i="1" s="1"/>
  <c r="B69" i="1"/>
  <c r="B18" i="1" s="1"/>
  <c r="C69" i="1"/>
  <c r="C18" i="1" s="1"/>
  <c r="D69" i="1"/>
  <c r="D18" i="1" s="1"/>
  <c r="F69" i="1"/>
  <c r="F18" i="1" s="1"/>
  <c r="G69" i="1"/>
  <c r="F12" i="6"/>
  <c r="G12" i="6"/>
  <c r="CY12" i="6"/>
  <c r="J65" i="7" l="1"/>
  <c r="K73" i="10"/>
  <c r="L86" i="10"/>
  <c r="K78" i="7"/>
  <c r="K44" i="7"/>
  <c r="L52" i="10"/>
  <c r="CP26" i="1"/>
  <c r="O26" i="1" s="1"/>
  <c r="K59" i="7"/>
  <c r="L67" i="10"/>
  <c r="G18" i="1"/>
  <c r="A3" i="11"/>
  <c r="A132" i="10"/>
  <c r="R35" i="1"/>
  <c r="V114" i="7"/>
  <c r="V122" i="10"/>
  <c r="U55" i="7"/>
  <c r="U63" i="10"/>
  <c r="CI37" i="1"/>
  <c r="CI22" i="1" s="1"/>
  <c r="CT34" i="1"/>
  <c r="S34" i="1" s="1"/>
  <c r="CY34" i="1" s="1"/>
  <c r="X34" i="1" s="1"/>
  <c r="S118" i="10"/>
  <c r="Q118" i="10"/>
  <c r="S110" i="7"/>
  <c r="Q110" i="7"/>
  <c r="DG18" i="3"/>
  <c r="DI16" i="3"/>
  <c r="DI6" i="3"/>
  <c r="DJ6" i="3" s="1"/>
  <c r="DH3" i="3"/>
  <c r="K96" i="7"/>
  <c r="L104" i="10"/>
  <c r="CR24" i="1"/>
  <c r="Q24" i="1" s="1"/>
  <c r="U31" i="7"/>
  <c r="U39" i="10"/>
  <c r="J90" i="7"/>
  <c r="K98" i="10"/>
  <c r="K69" i="7"/>
  <c r="L77" i="10"/>
  <c r="S40" i="7"/>
  <c r="Q48" i="10"/>
  <c r="Q40" i="7"/>
  <c r="S48" i="10"/>
  <c r="K108" i="7"/>
  <c r="L116" i="10"/>
  <c r="O7" i="12"/>
  <c r="H10" i="11" s="1"/>
  <c r="G11" i="11" s="1"/>
  <c r="M7" i="12"/>
  <c r="F10" i="11" s="1"/>
  <c r="E11" i="11" s="1"/>
  <c r="S71" i="7"/>
  <c r="Q71" i="7"/>
  <c r="S79" i="10"/>
  <c r="Q79" i="10"/>
  <c r="CT26" i="1"/>
  <c r="S26" i="1" s="1"/>
  <c r="Q54" i="10"/>
  <c r="S46" i="7"/>
  <c r="Q46" i="7"/>
  <c r="S54" i="10"/>
  <c r="R34" i="1"/>
  <c r="V110" i="7"/>
  <c r="V118" i="10"/>
  <c r="AD29" i="1"/>
  <c r="U71" i="7"/>
  <c r="U79" i="10"/>
  <c r="U46" i="7"/>
  <c r="U54" i="10"/>
  <c r="K123" i="10"/>
  <c r="J125" i="10" s="1"/>
  <c r="J115" i="7"/>
  <c r="I117" i="7" s="1"/>
  <c r="K102" i="7"/>
  <c r="L110" i="10"/>
  <c r="Q97" i="10"/>
  <c r="S89" i="7"/>
  <c r="Q89" i="7"/>
  <c r="S97" i="10"/>
  <c r="U80" i="7"/>
  <c r="U88" i="10"/>
  <c r="CX11" i="3"/>
  <c r="DF11" i="3" s="1"/>
  <c r="DJ11" i="3" s="1"/>
  <c r="I7" i="12"/>
  <c r="D10" i="11" s="1"/>
  <c r="AD31" i="1"/>
  <c r="U89" i="7"/>
  <c r="U97" i="10"/>
  <c r="AD30" i="1"/>
  <c r="AB30" i="1" s="1"/>
  <c r="CG37" i="1"/>
  <c r="CG22" i="1" s="1"/>
  <c r="CT32" i="1"/>
  <c r="S32" i="1" s="1"/>
  <c r="CP32" i="1" s="1"/>
  <c r="O32" i="1" s="1"/>
  <c r="S98" i="7"/>
  <c r="Q98" i="7"/>
  <c r="S106" i="10"/>
  <c r="Q106" i="10"/>
  <c r="Q112" i="10"/>
  <c r="S104" i="7"/>
  <c r="Q104" i="7"/>
  <c r="S112" i="10"/>
  <c r="U98" i="7"/>
  <c r="U106" i="10"/>
  <c r="AD33" i="1"/>
  <c r="U104" i="7"/>
  <c r="U112" i="10"/>
  <c r="AD32" i="1"/>
  <c r="AB32" i="1" s="1"/>
  <c r="R32" i="1"/>
  <c r="GK32" i="1" s="1"/>
  <c r="V98" i="7"/>
  <c r="V106" i="10"/>
  <c r="U61" i="7"/>
  <c r="U69" i="10"/>
  <c r="J111" i="7"/>
  <c r="I113" i="7" s="1"/>
  <c r="K119" i="10"/>
  <c r="J121" i="10" s="1"/>
  <c r="CT30" i="1"/>
  <c r="S30" i="1" s="1"/>
  <c r="S80" i="7"/>
  <c r="S88" i="10"/>
  <c r="Q88" i="10"/>
  <c r="Q80" i="7"/>
  <c r="AD28" i="1"/>
  <c r="AB28" i="1" s="1"/>
  <c r="AD26" i="1"/>
  <c r="AB26" i="1" s="1"/>
  <c r="CP34" i="1"/>
  <c r="O34" i="1" s="1"/>
  <c r="AB31" i="1"/>
  <c r="CT35" i="1"/>
  <c r="S35" i="1" s="1"/>
  <c r="Q114" i="7"/>
  <c r="Q122" i="10"/>
  <c r="S122" i="10"/>
  <c r="S114" i="7"/>
  <c r="G22" i="1"/>
  <c r="A8" i="11" s="1"/>
  <c r="A127" i="10"/>
  <c r="DG16" i="3"/>
  <c r="DJ16" i="3" s="1"/>
  <c r="DG6" i="3"/>
  <c r="DF3" i="3"/>
  <c r="CT25" i="1"/>
  <c r="S25" i="1" s="1"/>
  <c r="DH23" i="3"/>
  <c r="DI1" i="3"/>
  <c r="DJ1" i="3" s="1"/>
  <c r="CT28" i="1"/>
  <c r="S28" i="1" s="1"/>
  <c r="Q69" i="10"/>
  <c r="S61" i="7"/>
  <c r="Q61" i="7"/>
  <c r="S69" i="10"/>
  <c r="DF16" i="3"/>
  <c r="CS26" i="1"/>
  <c r="DG23" i="3"/>
  <c r="DJ23" i="3" s="1"/>
  <c r="DH21" i="3"/>
  <c r="CX12" i="3"/>
  <c r="DI12" i="3" s="1"/>
  <c r="DJ12" i="3" s="1"/>
  <c r="DH9" i="3"/>
  <c r="DH1" i="3"/>
  <c r="CT29" i="1"/>
  <c r="S29" i="1" s="1"/>
  <c r="CR28" i="1"/>
  <c r="Q28" i="1" s="1"/>
  <c r="CR26" i="1"/>
  <c r="Q26" i="1" s="1"/>
  <c r="DF23" i="3"/>
  <c r="CV18" i="3"/>
  <c r="DF9" i="3"/>
  <c r="DI4" i="3"/>
  <c r="DJ4" i="3" s="1"/>
  <c r="DG1" i="3"/>
  <c r="R7" i="12"/>
  <c r="J82" i="7"/>
  <c r="K90" i="10"/>
  <c r="CP30" i="1"/>
  <c r="O30" i="1" s="1"/>
  <c r="J91" i="7"/>
  <c r="K99" i="10"/>
  <c r="K53" i="7"/>
  <c r="L61" i="10"/>
  <c r="K38" i="7"/>
  <c r="L46" i="10"/>
  <c r="AD25" i="1"/>
  <c r="AB25" i="1" s="1"/>
  <c r="U40" i="7"/>
  <c r="U48" i="10"/>
  <c r="J105" i="7"/>
  <c r="K113" i="10"/>
  <c r="K87" i="7"/>
  <c r="L95" i="10"/>
  <c r="Q55" i="7"/>
  <c r="S63" i="10"/>
  <c r="Q63" i="10"/>
  <c r="S55" i="7"/>
  <c r="U110" i="7"/>
  <c r="U118" i="10"/>
  <c r="DI3" i="3"/>
  <c r="DJ3" i="3" s="1"/>
  <c r="U122" i="10"/>
  <c r="U114" i="7"/>
  <c r="DH6" i="3"/>
  <c r="K40" i="10"/>
  <c r="J32" i="7"/>
  <c r="CS28" i="1"/>
  <c r="CS30" i="1"/>
  <c r="CR29" i="1"/>
  <c r="Q29" i="1" s="1"/>
  <c r="CT27" i="1"/>
  <c r="S27" i="1" s="1"/>
  <c r="S31" i="7"/>
  <c r="Q31" i="7"/>
  <c r="S39" i="10"/>
  <c r="Q39" i="10"/>
  <c r="CX14" i="3"/>
  <c r="CY32" i="1"/>
  <c r="X32" i="1" s="1"/>
  <c r="CZ32" i="1"/>
  <c r="Y32" i="1" s="1"/>
  <c r="CP35" i="1"/>
  <c r="O35" i="1" s="1"/>
  <c r="CZ33" i="1"/>
  <c r="Y33" i="1" s="1"/>
  <c r="CY33" i="1"/>
  <c r="X33" i="1" s="1"/>
  <c r="AB33" i="1"/>
  <c r="CJ37" i="1"/>
  <c r="AJ37" i="1"/>
  <c r="CZ29" i="1"/>
  <c r="Y29" i="1" s="1"/>
  <c r="CY29" i="1"/>
  <c r="X29" i="1" s="1"/>
  <c r="AB29" i="1"/>
  <c r="AG37" i="1"/>
  <c r="CY35" i="1"/>
  <c r="X35" i="1" s="1"/>
  <c r="CZ35" i="1"/>
  <c r="Y35" i="1" s="1"/>
  <c r="CZ31" i="1"/>
  <c r="Y31" i="1" s="1"/>
  <c r="CY31" i="1"/>
  <c r="X31" i="1" s="1"/>
  <c r="AH37" i="1"/>
  <c r="AD37" i="1"/>
  <c r="AI37" i="1"/>
  <c r="BD37" i="1"/>
  <c r="BB37" i="1"/>
  <c r="AT37" i="1"/>
  <c r="AP37" i="1"/>
  <c r="CS33" i="1"/>
  <c r="CQ33" i="1"/>
  <c r="P33" i="1" s="1"/>
  <c r="CP33" i="1" s="1"/>
  <c r="O33" i="1" s="1"/>
  <c r="CS31" i="1"/>
  <c r="CQ31" i="1"/>
  <c r="P31" i="1" s="1"/>
  <c r="CP31" i="1" s="1"/>
  <c r="O31" i="1" s="1"/>
  <c r="CS29" i="1"/>
  <c r="CQ29" i="1"/>
  <c r="P29" i="1" s="1"/>
  <c r="AD27" i="1"/>
  <c r="AB27" i="1" s="1"/>
  <c r="CS27" i="1"/>
  <c r="CY26" i="1"/>
  <c r="X26" i="1" s="1"/>
  <c r="CZ26" i="1"/>
  <c r="Y26" i="1" s="1"/>
  <c r="CZ25" i="1"/>
  <c r="Y25" i="1" s="1"/>
  <c r="CY25" i="1"/>
  <c r="X25" i="1" s="1"/>
  <c r="CY24" i="1"/>
  <c r="X24" i="1" s="1"/>
  <c r="CZ24" i="1"/>
  <c r="Y24" i="1" s="1"/>
  <c r="BC37" i="1"/>
  <c r="AS37" i="1"/>
  <c r="AQ37" i="1"/>
  <c r="AO37" i="1"/>
  <c r="CQ27" i="1"/>
  <c r="P27" i="1" s="1"/>
  <c r="CS25" i="1"/>
  <c r="CQ25" i="1"/>
  <c r="P25" i="1" s="1"/>
  <c r="CQ24" i="1"/>
  <c r="P24" i="1" s="1"/>
  <c r="DF22" i="3"/>
  <c r="DH22" i="3"/>
  <c r="DG21" i="3"/>
  <c r="DI21" i="3"/>
  <c r="DJ21" i="3" s="1"/>
  <c r="DF18" i="3"/>
  <c r="DH18" i="3"/>
  <c r="DG15" i="3"/>
  <c r="DI15" i="3"/>
  <c r="DJ15" i="3" s="1"/>
  <c r="DF15" i="3"/>
  <c r="DH15" i="3"/>
  <c r="AD24" i="1"/>
  <c r="AB24" i="1" s="1"/>
  <c r="CS24" i="1"/>
  <c r="DG11" i="3"/>
  <c r="DI11" i="3"/>
  <c r="DI14" i="3"/>
  <c r="DI13" i="3"/>
  <c r="DI10" i="3"/>
  <c r="DI9" i="3"/>
  <c r="DI17" i="3"/>
  <c r="R118" i="10" l="1"/>
  <c r="R110" i="7"/>
  <c r="R122" i="10"/>
  <c r="R114" i="7"/>
  <c r="K89" i="10"/>
  <c r="J81" i="7"/>
  <c r="J112" i="7"/>
  <c r="K120" i="10"/>
  <c r="T31" i="7"/>
  <c r="J36" i="7" s="1"/>
  <c r="T39" i="10"/>
  <c r="K44" i="10" s="1"/>
  <c r="R26" i="1"/>
  <c r="V46" i="7"/>
  <c r="J52" i="7" s="1"/>
  <c r="V54" i="10"/>
  <c r="K60" i="10" s="1"/>
  <c r="L125" i="10"/>
  <c r="P125" i="10"/>
  <c r="T114" i="7"/>
  <c r="T122" i="10"/>
  <c r="R27" i="1"/>
  <c r="GK27" i="1" s="1"/>
  <c r="V55" i="7"/>
  <c r="V63" i="10"/>
  <c r="P113" i="7"/>
  <c r="K113" i="7"/>
  <c r="T71" i="7"/>
  <c r="J76" i="7" s="1"/>
  <c r="T79" i="10"/>
  <c r="K84" i="10" s="1"/>
  <c r="J33" i="7"/>
  <c r="I39" i="7" s="1"/>
  <c r="K41" i="10"/>
  <c r="J47" i="10" s="1"/>
  <c r="GM33" i="1"/>
  <c r="GP33" i="1" s="1"/>
  <c r="R33" i="1"/>
  <c r="GK33" i="1" s="1"/>
  <c r="V112" i="10"/>
  <c r="V104" i="7"/>
  <c r="R25" i="1"/>
  <c r="GK25" i="1" s="1"/>
  <c r="V40" i="7"/>
  <c r="V48" i="10"/>
  <c r="J48" i="7"/>
  <c r="K56" i="10"/>
  <c r="R31" i="7"/>
  <c r="J35" i="7" s="1"/>
  <c r="R39" i="10"/>
  <c r="K43" i="10" s="1"/>
  <c r="V61" i="7"/>
  <c r="J68" i="7" s="1"/>
  <c r="V69" i="10"/>
  <c r="K76" i="10" s="1"/>
  <c r="R28" i="1"/>
  <c r="T89" i="7"/>
  <c r="J94" i="7" s="1"/>
  <c r="I97" i="7" s="1"/>
  <c r="T97" i="10"/>
  <c r="K102" i="10" s="1"/>
  <c r="CZ28" i="1"/>
  <c r="Y28" i="1" s="1"/>
  <c r="K70" i="10"/>
  <c r="J62" i="7"/>
  <c r="CY28" i="1"/>
  <c r="X28" i="1" s="1"/>
  <c r="J47" i="7"/>
  <c r="I54" i="7" s="1"/>
  <c r="K55" i="10"/>
  <c r="CP27" i="1"/>
  <c r="O27" i="1" s="1"/>
  <c r="DG14" i="3"/>
  <c r="DJ14" i="3" s="1"/>
  <c r="DF14" i="3"/>
  <c r="DH14" i="3"/>
  <c r="J63" i="7"/>
  <c r="K71" i="10"/>
  <c r="AX37" i="1"/>
  <c r="R104" i="7"/>
  <c r="J106" i="7" s="1"/>
  <c r="I109" i="7" s="1"/>
  <c r="R112" i="10"/>
  <c r="K114" i="10" s="1"/>
  <c r="J117" i="10"/>
  <c r="J72" i="7"/>
  <c r="K80" i="10"/>
  <c r="CY27" i="1"/>
  <c r="X27" i="1" s="1"/>
  <c r="J56" i="7"/>
  <c r="K64" i="10"/>
  <c r="CZ27" i="1"/>
  <c r="Y27" i="1" s="1"/>
  <c r="R98" i="7"/>
  <c r="J100" i="7" s="1"/>
  <c r="R106" i="10"/>
  <c r="K108" i="10" s="1"/>
  <c r="T40" i="7"/>
  <c r="J43" i="7" s="1"/>
  <c r="T48" i="10"/>
  <c r="K51" i="10" s="1"/>
  <c r="K107" i="10"/>
  <c r="J111" i="10" s="1"/>
  <c r="J99" i="7"/>
  <c r="T98" i="7"/>
  <c r="J101" i="7" s="1"/>
  <c r="T106" i="10"/>
  <c r="K109" i="10" s="1"/>
  <c r="R24" i="1"/>
  <c r="V39" i="10"/>
  <c r="K45" i="10" s="1"/>
  <c r="V31" i="7"/>
  <c r="J37" i="7" s="1"/>
  <c r="K117" i="7"/>
  <c r="P117" i="7"/>
  <c r="R89" i="7"/>
  <c r="J93" i="7" s="1"/>
  <c r="R97" i="10"/>
  <c r="K101" i="10" s="1"/>
  <c r="J105" i="10" s="1"/>
  <c r="L121" i="10"/>
  <c r="P121" i="10"/>
  <c r="R71" i="7"/>
  <c r="J75" i="7" s="1"/>
  <c r="R79" i="10"/>
  <c r="K83" i="10" s="1"/>
  <c r="CZ34" i="1"/>
  <c r="Y34" i="1" s="1"/>
  <c r="J73" i="7"/>
  <c r="K81" i="10"/>
  <c r="R30" i="1"/>
  <c r="V88" i="10"/>
  <c r="K94" i="10" s="1"/>
  <c r="V80" i="7"/>
  <c r="J86" i="7" s="1"/>
  <c r="R40" i="7"/>
  <c r="J42" i="7" s="1"/>
  <c r="R48" i="10"/>
  <c r="K50" i="10" s="1"/>
  <c r="T46" i="7"/>
  <c r="J51" i="7" s="1"/>
  <c r="T54" i="10"/>
  <c r="K59" i="10" s="1"/>
  <c r="R46" i="7"/>
  <c r="J50" i="7" s="1"/>
  <c r="R54" i="10"/>
  <c r="K58" i="10" s="1"/>
  <c r="K124" i="10"/>
  <c r="J116" i="7"/>
  <c r="AF37" i="1"/>
  <c r="AF22" i="1" s="1"/>
  <c r="CP29" i="1"/>
  <c r="O29" i="1" s="1"/>
  <c r="R29" i="1"/>
  <c r="V79" i="10"/>
  <c r="K85" i="10" s="1"/>
  <c r="V71" i="7"/>
  <c r="J77" i="7" s="1"/>
  <c r="J41" i="7"/>
  <c r="K49" i="10"/>
  <c r="R31" i="1"/>
  <c r="V89" i="7"/>
  <c r="J95" i="7" s="1"/>
  <c r="V97" i="10"/>
  <c r="K103" i="10" s="1"/>
  <c r="CZ30" i="1"/>
  <c r="Y30" i="1" s="1"/>
  <c r="CP25" i="1"/>
  <c r="O25" i="1" s="1"/>
  <c r="CY30" i="1"/>
  <c r="X30" i="1" s="1"/>
  <c r="AZ37" i="1"/>
  <c r="AZ22" i="1" s="1"/>
  <c r="T104" i="7"/>
  <c r="J107" i="7" s="1"/>
  <c r="T112" i="10"/>
  <c r="K115" i="10" s="1"/>
  <c r="DH11" i="3"/>
  <c r="DG12" i="3"/>
  <c r="DH12" i="3"/>
  <c r="DF12" i="3"/>
  <c r="CP28" i="1"/>
  <c r="O28" i="1" s="1"/>
  <c r="CP24" i="1"/>
  <c r="O24" i="1" s="1"/>
  <c r="AC37" i="1"/>
  <c r="AQ22" i="1"/>
  <c r="F47" i="1"/>
  <c r="AQ69" i="1"/>
  <c r="BC22" i="1"/>
  <c r="F53" i="1"/>
  <c r="BC69" i="1"/>
  <c r="AP22" i="1"/>
  <c r="AP69" i="1"/>
  <c r="F46" i="1"/>
  <c r="AI22" i="1"/>
  <c r="V37" i="1"/>
  <c r="AO22" i="1"/>
  <c r="F41" i="1"/>
  <c r="AO69" i="1"/>
  <c r="AS22" i="1"/>
  <c r="F54" i="1"/>
  <c r="AS69" i="1"/>
  <c r="AL37" i="1"/>
  <c r="AT22" i="1"/>
  <c r="F55" i="1"/>
  <c r="AT69" i="1"/>
  <c r="AZ69" i="1"/>
  <c r="F48" i="1"/>
  <c r="BD22" i="1"/>
  <c r="BD69" i="1"/>
  <c r="F62" i="1"/>
  <c r="AD22" i="1"/>
  <c r="Q37" i="1"/>
  <c r="AJ22" i="1"/>
  <c r="W37" i="1"/>
  <c r="GM32" i="1"/>
  <c r="GP32" i="1" s="1"/>
  <c r="GM35" i="1"/>
  <c r="GP35" i="1" s="1"/>
  <c r="GK24" i="1"/>
  <c r="AX22" i="1"/>
  <c r="AX69" i="1"/>
  <c r="F44" i="1"/>
  <c r="BB22" i="1"/>
  <c r="BB69" i="1"/>
  <c r="F50" i="1"/>
  <c r="AH22" i="1"/>
  <c r="U37" i="1"/>
  <c r="AG22" i="1"/>
  <c r="T37" i="1"/>
  <c r="S37" i="1"/>
  <c r="CJ22" i="1"/>
  <c r="BA37" i="1"/>
  <c r="P47" i="10" l="1"/>
  <c r="L47" i="10"/>
  <c r="P97" i="7"/>
  <c r="K97" i="7"/>
  <c r="L105" i="10"/>
  <c r="P105" i="10"/>
  <c r="K39" i="7"/>
  <c r="P39" i="7"/>
  <c r="K109" i="7"/>
  <c r="P109" i="7"/>
  <c r="F16" i="2"/>
  <c r="F18" i="2" s="1"/>
  <c r="I22" i="7"/>
  <c r="R55" i="7"/>
  <c r="J57" i="7" s="1"/>
  <c r="R63" i="10"/>
  <c r="K65" i="10" s="1"/>
  <c r="J68" i="10" s="1"/>
  <c r="GK29" i="1"/>
  <c r="K82" i="10"/>
  <c r="J74" i="7"/>
  <c r="I79" i="7"/>
  <c r="GM29" i="1"/>
  <c r="GP29" i="1" s="1"/>
  <c r="L117" i="10"/>
  <c r="P117" i="10"/>
  <c r="E16" i="2"/>
  <c r="E18" i="2" s="1"/>
  <c r="I21" i="7"/>
  <c r="AK37" i="1"/>
  <c r="AE37" i="1"/>
  <c r="GK26" i="1"/>
  <c r="GM26" i="1" s="1"/>
  <c r="GP26" i="1" s="1"/>
  <c r="J49" i="7"/>
  <c r="K57" i="10"/>
  <c r="J34" i="7"/>
  <c r="K42" i="10"/>
  <c r="G16" i="2"/>
  <c r="G18" i="2" s="1"/>
  <c r="I23" i="7"/>
  <c r="R88" i="10"/>
  <c r="K92" i="10" s="1"/>
  <c r="R80" i="7"/>
  <c r="J84" i="7" s="1"/>
  <c r="GM27" i="1"/>
  <c r="GP27" i="1" s="1"/>
  <c r="GM25" i="1"/>
  <c r="GP25" i="1" s="1"/>
  <c r="I103" i="7"/>
  <c r="J62" i="10"/>
  <c r="I88" i="7"/>
  <c r="GK28" i="1"/>
  <c r="GM28" i="1" s="1"/>
  <c r="GP28" i="1" s="1"/>
  <c r="K72" i="10"/>
  <c r="J64" i="7"/>
  <c r="J87" i="10"/>
  <c r="T80" i="7"/>
  <c r="J85" i="7" s="1"/>
  <c r="T88" i="10"/>
  <c r="K93" i="10" s="1"/>
  <c r="L111" i="10"/>
  <c r="P111" i="10"/>
  <c r="R61" i="7"/>
  <c r="J66" i="7" s="1"/>
  <c r="R69" i="10"/>
  <c r="K74" i="10" s="1"/>
  <c r="GK31" i="1"/>
  <c r="GM31" i="1" s="1"/>
  <c r="GP31" i="1" s="1"/>
  <c r="J92" i="7"/>
  <c r="K100" i="10"/>
  <c r="P54" i="7"/>
  <c r="K54" i="7"/>
  <c r="J96" i="10"/>
  <c r="GK30" i="1"/>
  <c r="GM30" i="1" s="1"/>
  <c r="GP30" i="1" s="1"/>
  <c r="J83" i="7"/>
  <c r="K91" i="10"/>
  <c r="T61" i="7"/>
  <c r="J67" i="7" s="1"/>
  <c r="I70" i="7" s="1"/>
  <c r="T69" i="10"/>
  <c r="K75" i="10" s="1"/>
  <c r="J78" i="10" s="1"/>
  <c r="J53" i="10"/>
  <c r="T55" i="7"/>
  <c r="J58" i="7" s="1"/>
  <c r="T63" i="10"/>
  <c r="K66" i="10" s="1"/>
  <c r="I45" i="7"/>
  <c r="T110" i="7"/>
  <c r="T118" i="10"/>
  <c r="GM34" i="1"/>
  <c r="GP34" i="1" s="1"/>
  <c r="BA22" i="1"/>
  <c r="F57" i="1"/>
  <c r="BA69" i="1"/>
  <c r="T22" i="1"/>
  <c r="F58" i="1"/>
  <c r="T69" i="1"/>
  <c r="U22" i="1"/>
  <c r="F59" i="1"/>
  <c r="U69" i="1"/>
  <c r="AE22" i="1"/>
  <c r="R37" i="1"/>
  <c r="BB18" i="1"/>
  <c r="F82" i="1"/>
  <c r="BD18" i="1"/>
  <c r="F94" i="1"/>
  <c r="AL22" i="1"/>
  <c r="Y37" i="1"/>
  <c r="AO18" i="1"/>
  <c r="F73" i="1"/>
  <c r="AP18" i="1"/>
  <c r="F78" i="1"/>
  <c r="BC18" i="1"/>
  <c r="F85" i="1"/>
  <c r="AC22" i="1"/>
  <c r="CF37" i="1"/>
  <c r="CH37" i="1"/>
  <c r="P37" i="1"/>
  <c r="CE37" i="1"/>
  <c r="S22" i="1"/>
  <c r="S69" i="1"/>
  <c r="F52" i="1"/>
  <c r="AX18" i="1"/>
  <c r="F76" i="1"/>
  <c r="W22" i="1"/>
  <c r="F61" i="1"/>
  <c r="W69" i="1"/>
  <c r="Q22" i="1"/>
  <c r="F49" i="1"/>
  <c r="Q69" i="1"/>
  <c r="AZ18" i="1"/>
  <c r="F80" i="1"/>
  <c r="AT18" i="1"/>
  <c r="F87" i="1"/>
  <c r="AS18" i="1"/>
  <c r="F86" i="1"/>
  <c r="V22" i="1"/>
  <c r="F60" i="1"/>
  <c r="V69" i="1"/>
  <c r="AQ18" i="1"/>
  <c r="F79" i="1"/>
  <c r="GM24" i="1"/>
  <c r="AB37" i="1"/>
  <c r="L78" i="10" l="1"/>
  <c r="P78" i="10"/>
  <c r="P68" i="10"/>
  <c r="L68" i="10"/>
  <c r="K70" i="7"/>
  <c r="P70" i="7"/>
  <c r="P96" i="10"/>
  <c r="L96" i="10"/>
  <c r="P79" i="7"/>
  <c r="K79" i="7"/>
  <c r="P103" i="7"/>
  <c r="K103" i="7"/>
  <c r="I60" i="7"/>
  <c r="AK22" i="1"/>
  <c r="X37" i="1"/>
  <c r="P62" i="10"/>
  <c r="L62" i="10"/>
  <c r="P53" i="10"/>
  <c r="J132" i="10" s="1"/>
  <c r="L53" i="10"/>
  <c r="K88" i="7"/>
  <c r="P88" i="7"/>
  <c r="I25" i="7"/>
  <c r="P45" i="7"/>
  <c r="K45" i="7"/>
  <c r="P87" i="10"/>
  <c r="L87" i="10"/>
  <c r="AB22" i="1"/>
  <c r="O37" i="1"/>
  <c r="V18" i="1"/>
  <c r="F92" i="1"/>
  <c r="W18" i="1"/>
  <c r="F93" i="1"/>
  <c r="P22" i="1"/>
  <c r="F40" i="1"/>
  <c r="P69" i="1"/>
  <c r="CF22" i="1"/>
  <c r="AW37" i="1"/>
  <c r="Y22" i="1"/>
  <c r="Y69" i="1"/>
  <c r="F64" i="1"/>
  <c r="R22" i="1"/>
  <c r="F51" i="1"/>
  <c r="J16" i="2" s="1"/>
  <c r="J18" i="2" s="1"/>
  <c r="R69" i="1"/>
  <c r="U18" i="1"/>
  <c r="F91" i="1"/>
  <c r="BA18" i="1"/>
  <c r="F89" i="1"/>
  <c r="GP24" i="1"/>
  <c r="CD37" i="1" s="1"/>
  <c r="CA37" i="1"/>
  <c r="Q18" i="1"/>
  <c r="F81" i="1"/>
  <c r="S18" i="1"/>
  <c r="F84" i="1"/>
  <c r="CE22" i="1"/>
  <c r="AV37" i="1"/>
  <c r="CH22" i="1"/>
  <c r="AY37" i="1"/>
  <c r="T18" i="1"/>
  <c r="F90" i="1"/>
  <c r="J127" i="10" l="1"/>
  <c r="X69" i="1"/>
  <c r="X22" i="1"/>
  <c r="F63" i="1"/>
  <c r="K60" i="7"/>
  <c r="P60" i="7"/>
  <c r="CD22" i="1"/>
  <c r="AU37" i="1"/>
  <c r="AY22" i="1"/>
  <c r="F45" i="1"/>
  <c r="AY69" i="1"/>
  <c r="AV22" i="1"/>
  <c r="AV69" i="1"/>
  <c r="F42" i="1"/>
  <c r="CA22" i="1"/>
  <c r="AR37" i="1"/>
  <c r="R18" i="1"/>
  <c r="F83" i="1"/>
  <c r="Y18" i="1"/>
  <c r="F96" i="1"/>
  <c r="AW22" i="1"/>
  <c r="F43" i="1"/>
  <c r="AW69" i="1"/>
  <c r="P18" i="1"/>
  <c r="F72" i="1"/>
  <c r="O22" i="1"/>
  <c r="F39" i="1"/>
  <c r="O69" i="1"/>
  <c r="I122" i="7" l="1"/>
  <c r="I119" i="7"/>
  <c r="F95" i="1"/>
  <c r="X18" i="1"/>
  <c r="O18" i="1"/>
  <c r="F71" i="1"/>
  <c r="AR22" i="1"/>
  <c r="F65" i="1"/>
  <c r="AR69" i="1"/>
  <c r="AU22" i="1"/>
  <c r="F56" i="1"/>
  <c r="AU69" i="1"/>
  <c r="AW18" i="1"/>
  <c r="F75" i="1"/>
  <c r="AV18" i="1"/>
  <c r="F74" i="1"/>
  <c r="AY18" i="1"/>
  <c r="F77" i="1"/>
  <c r="H16" i="2" l="1"/>
  <c r="I24" i="7"/>
  <c r="I20" i="7" s="1"/>
  <c r="I123" i="7"/>
  <c r="I124" i="7" s="1"/>
  <c r="H18" i="2"/>
  <c r="I16" i="2"/>
  <c r="I18" i="2" s="1"/>
  <c r="AR18" i="1"/>
  <c r="F97" i="1"/>
  <c r="AU18" i="1"/>
  <c r="F88" i="1"/>
  <c r="F66" i="1"/>
  <c r="J129" i="10" s="1"/>
  <c r="F67" i="1" l="1"/>
  <c r="F98" i="1"/>
  <c r="F99" i="1" l="1"/>
  <c r="J134" i="10" s="1"/>
  <c r="J133" i="10"/>
  <c r="H31" i="10"/>
  <c r="J130" i="10"/>
</calcChain>
</file>

<file path=xl/sharedStrings.xml><?xml version="1.0" encoding="utf-8"?>
<sst xmlns="http://schemas.openxmlformats.org/spreadsheetml/2006/main" count="1791" uniqueCount="329">
  <si>
    <t>Smeta.RU  (495) 974-1589</t>
  </si>
  <si>
    <t>_PS_</t>
  </si>
  <si>
    <t>Smeta.RU</t>
  </si>
  <si>
    <t/>
  </si>
  <si>
    <t>Новый объект_(Копия)</t>
  </si>
  <si>
    <t>Красная Пахра_(Копия)</t>
  </si>
  <si>
    <t>Сметные нормы списания</t>
  </si>
  <si>
    <t>Коды ОКП для СН-2012 Выпуск № 3 (в ценах на 01.04.2025 г)</t>
  </si>
  <si>
    <t>СН-2012 Выпуск № 3. (в ценах на 01.04.2025) глава_1-5, 7</t>
  </si>
  <si>
    <t>Типовой расчет для СН-2012 Выпуск №3 (в ценах на 01.04.2025 г)</t>
  </si>
  <si>
    <t>СН-2012 Выпуск № 3. База данных "Сборник стоимостных нормативов" в текущих ценах по состоянию на 01.04.2025 года</t>
  </si>
  <si>
    <t>Поправки для СН-2012 Выпуск № 3 в ценах на 01.04.2025 г от 02.04.2025</t>
  </si>
  <si>
    <t>Новая локальная смета</t>
  </si>
  <si>
    <t>1</t>
  </si>
  <si>
    <t>5.4-3104-14-3/1</t>
  </si>
  <si>
    <t>Разделка упавших деревьев вручную с переноской порубочных остатков - диаметром до 300 мм на расстояние 25 м</t>
  </si>
  <si>
    <t>шт.</t>
  </si>
  <si>
    <t>СН-2012.1 Выпуск № 3 (в текущих ценах по состоянию на 01.04.2025 г.). Сб.4-3104-14-3/1</t>
  </si>
  <si>
    <t>СН-2012</t>
  </si>
  <si>
    <t>Подрядные работы, гл. 1-5,7</t>
  </si>
  <si>
    <t>работа</t>
  </si>
  <si>
    <t>2</t>
  </si>
  <si>
    <t>5.4-3104-15-3/1</t>
  </si>
  <si>
    <t>Разделка упавших деревьев вручную с переноской порубочных остатков - диаметром до 300 мм, добавлять на каждые 10 м переноски сверх 25 м</t>
  </si>
  <si>
    <t>СН-2012.1 Выпуск № 3 (в текущих ценах по состоянию на 01.04.2025 г.). Сб.4-3104-15-3/1</t>
  </si>
  <si>
    <t>)*2</t>
  </si>
  <si>
    <t>3</t>
  </si>
  <si>
    <t>5.4-3104-14-4/1</t>
  </si>
  <si>
    <t>Разделка упавших деревьев вручную с переноской порубочных остатков - диаметром до 400 мм на расстояние 25 м</t>
  </si>
  <si>
    <t>СН-2012.1 Выпуск № 3 (в текущих ценах по состоянию на 01.04.2025 г.). Сб.4-3104-14-4/1</t>
  </si>
  <si>
    <t>4</t>
  </si>
  <si>
    <t>5.4-3104-15-4/1</t>
  </si>
  <si>
    <t>Разделка упавших деревьев вручную с переноской порубочных остатков - диаметром до 400 мм, добавлять на каждые 10 м переноски сверх 25 м</t>
  </si>
  <si>
    <t>СН-2012.1 Выпуск № 3 (в текущих ценах по состоянию на 01.04.2025 г.). Сб.4-3104-15-4/1</t>
  </si>
  <si>
    <t>5</t>
  </si>
  <si>
    <t>5.4-3101-7-2/1</t>
  </si>
  <si>
    <t>Санитарная обрезка деревьев мягких пород с использованием автовышки - диаметром до 0,5 м при количестве срезанных ветвей более 15</t>
  </si>
  <si>
    <t>СН-2012.1 Выпуск № 3 (в текущих ценах по состоянию на 01.04.2025 г.). Сб.4-3101-7-2/1</t>
  </si>
  <si>
    <t>6</t>
  </si>
  <si>
    <t>5.4-3104-18-2/1</t>
  </si>
  <si>
    <t>Измельчение ветвей, сучьев дробилкой - дерево диаметром до 200 мм</t>
  </si>
  <si>
    <t>СН-2012.1 Выпуск № 3 (в текущих ценах по состоянию на 01.04.2025 г.). Сб.4-3104-18-2/1</t>
  </si>
  <si>
    <t>7</t>
  </si>
  <si>
    <t>5.4-3104-18-3/1</t>
  </si>
  <si>
    <t>Измельчение ветвей, сучьев дробилкой - дерево диаметром до 300 мм</t>
  </si>
  <si>
    <t>СН-2012.1 Выпуск № 3 (в текущих ценах по состоянию на 01.04.2025 г.). Сб.4-3104-18-3/1</t>
  </si>
  <si>
    <t>8</t>
  </si>
  <si>
    <t>5.4-3104-18-4/1</t>
  </si>
  <si>
    <t>Измельчение ветвей, сучьев дробилкой - дерево диаметром до 400 мм</t>
  </si>
  <si>
    <t>СН-2012.1 Выпуск № 3 (в текущих ценах по состоянию на 01.04.2025 г.). Сб.4-3104-18-4/1</t>
  </si>
  <si>
    <t>9</t>
  </si>
  <si>
    <t>5.4-3105-2-1/1</t>
  </si>
  <si>
    <t>Погрузка вручную на автотранспорт порубочных остатков - обрезанные ветви</t>
  </si>
  <si>
    <t>скл. м3</t>
  </si>
  <si>
    <t>СН-2012.1 Выпуск № 3 (в текущих ценах по состоянию на 01.04.2025 г.). Сб.4-3105-2-1/1</t>
  </si>
  <si>
    <t>10</t>
  </si>
  <si>
    <t>5.4-3105-2-2/1</t>
  </si>
  <si>
    <t>Погрузка вручную на автотранспорт порубочных остатков - после валки деревьев</t>
  </si>
  <si>
    <t>СН-2012.1 Выпуск № 3 (в текущих ценах по состоянию на 01.04.2025 г.). Сб.4-3105-2-2/1</t>
  </si>
  <si>
    <t>11</t>
  </si>
  <si>
    <t>5.4-3105-4-3/1</t>
  </si>
  <si>
    <t>Перевозка порубочных остатков после вырубки кустарников и обрезанных ветвей автосамосвалами грузоподъемностью до 15 т на расстояние 1 км - при механизированной погрузке</t>
  </si>
  <si>
    <t>т</t>
  </si>
  <si>
    <t>СН-2012.1 Выпуск № 3 (в текущих ценах по состоянию на 01.04.2025 г.). Сб.4-3105-4-3/1</t>
  </si>
  <si>
    <t>Подрядные работы, гл. 1 перевозка мусора</t>
  </si>
  <si>
    <t>12</t>
  </si>
  <si>
    <t>5.4-3105-4-2/1</t>
  </si>
  <si>
    <t>Перевозка порубочных остатков автосамосвалами грузоподъемностью до 15 т - добавляется на каждый последующий 1 км до 100 км</t>
  </si>
  <si>
    <t>СН-2012.1 Выпуск № 3 (в текущих ценах по состоянию на 01.04.2025 г.). Сб.4-3105-4-2/1</t>
  </si>
  <si>
    <t>)*64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</si>
  <si>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</si>
  <si>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</si>
  <si>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</si>
  <si>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</si>
  <si>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</si>
  <si>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</si>
  <si>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</si>
  <si>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</si>
  <si>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</si>
  <si>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</si>
  <si>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</si>
  <si>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</si>
  <si>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</si>
  <si>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</si>
  <si>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</si>
  <si>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</si>
  <si>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</si>
  <si>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</si>
  <si>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</si>
  <si>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</si>
  <si>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</si>
  <si>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</si>
  <si>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</si>
  <si>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</si>
  <si>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</si>
  <si>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</si>
  <si>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</si>
  <si>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</si>
  <si>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</si>
  <si>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</si>
  <si>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</si>
  <si>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</si>
  <si>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</si>
  <si>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</si>
  <si>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</si>
  <si>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</si>
  <si>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</si>
  <si>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</si>
  <si>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</si>
  <si>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</si>
  <si>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</si>
  <si>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</si>
  <si>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</si>
  <si>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</si>
  <si>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</si>
  <si>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</si>
  <si>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</si>
  <si>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</si>
  <si>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</si>
  <si>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</si>
  <si>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</si>
  <si>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</si>
  <si>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</si>
  <si>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</si>
  <si>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НДС</t>
  </si>
  <si>
    <t>НДС-20%</t>
  </si>
  <si>
    <t>Ит с НДС</t>
  </si>
  <si>
    <t>Итого  с НДС</t>
  </si>
  <si>
    <t>Уровень цен</t>
  </si>
  <si>
    <t>_OBSM_</t>
  </si>
  <si>
    <t>9999990008</t>
  </si>
  <si>
    <t>Трудозатраты рабочих</t>
  </si>
  <si>
    <t>чел.-ч.</t>
  </si>
  <si>
    <t>22.1-30-86</t>
  </si>
  <si>
    <t>СН-2012.22 Выпуск № 3 (в текущих ценах по состоянию на 01.04.2025 г.). Сб.1-30-86</t>
  </si>
  <si>
    <t>Пилы бензиновые мощностью до 4 кВт, тип "Штиль"</t>
  </si>
  <si>
    <t>маш.-ч</t>
  </si>
  <si>
    <t>22.1-14-27</t>
  </si>
  <si>
    <t>СН-2012.22 Выпуск № 3 (в текущих ценах по состоянию на 01.04.2025 г.). Сб.1-14-27</t>
  </si>
  <si>
    <t>Воздуходувы-пылесосы бензиновые, объем мусоросборника до 65 л, расход воздуха в кожухе вентилятора 13,31 м3/мин</t>
  </si>
  <si>
    <t>22.1-30-125</t>
  </si>
  <si>
    <t>СН-2012.22 Выпуск № 3 (в текущих ценах по состоянию на 01.04.2025 г.). Сб.1-30-125</t>
  </si>
  <si>
    <t>Пилы-сучкорезы бензиновые цепные типа "Штиль", мощность до 1,8 кВт</t>
  </si>
  <si>
    <t>22.1-4-24</t>
  </si>
  <si>
    <t>СН-2012.22 Выпуск № 3 (в текущих ценах по состоянию на 01.04.2025 г.). Сб.1-4-24</t>
  </si>
  <si>
    <t>Вышки телескопические на автомобиле, высота до 35 м, грузоподъемность до 350 кг</t>
  </si>
  <si>
    <t>21.1-6-44</t>
  </si>
  <si>
    <t>Краски масляные жидкотертые цветные (готовые к употреблению) для наружных и внутренних работ, марка МА-15</t>
  </si>
  <si>
    <t>кг</t>
  </si>
  <si>
    <t>22.1-17-261</t>
  </si>
  <si>
    <t>СН-2012.22 Выпуск № 3 (в текущих ценах по состоянию на 01.04.2025 г.). Сб.1-17-261</t>
  </si>
  <si>
    <t>Машины передвижные рубильные с дизельным двигателем, производительность до 20 т/час</t>
  </si>
  <si>
    <t>22.1-2-7</t>
  </si>
  <si>
    <t>СН-2012.22 Выпуск № 3 (в текущих ценах по состоянию на 01.04.2025 г.). Сб.1-2-7</t>
  </si>
  <si>
    <t>Тракторы на пневмоколесном ходу, мощность до 60 (81) кВт (л.с.)</t>
  </si>
  <si>
    <t>22.1-18-14</t>
  </si>
  <si>
    <t>СН-2012.22 Выпуск № 3 (в текущих ценах по состоянию на 01.04.2025 г.). Сб.1-18-14</t>
  </si>
  <si>
    <t>Автомобили-самосвалы, грузоподъемность до 15 т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</si>
  <si>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</si>
  <si>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</si>
  <si>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</si>
  <si>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</si>
  <si>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</si>
  <si>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</si>
  <si>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</si>
  <si>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</si>
  <si>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</si>
  <si>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</si>
  <si>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</si>
  <si>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</si>
  <si>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</si>
  <si>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</si>
  <si>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</si>
  <si>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</si>
  <si>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</si>
  <si>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</si>
  <si>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</si>
  <si>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</si>
  <si>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</si>
  <si>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</si>
  <si>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</si>
  <si>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</si>
  <si>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</si>
  <si>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</si>
  <si>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апрель 2025 года</t>
  </si>
  <si>
    <t>ЗП</t>
  </si>
  <si>
    <t>ЭМ</t>
  </si>
  <si>
    <t>в т.ч. ЗПМ</t>
  </si>
  <si>
    <t>НР от ЗП</t>
  </si>
  <si>
    <t>%</t>
  </si>
  <si>
    <t>СП от ЗП</t>
  </si>
  <si>
    <t>НР и СП от ЗПМ</t>
  </si>
  <si>
    <t>ЗТР</t>
  </si>
  <si>
    <t>чел-ч</t>
  </si>
  <si>
    <t>МР</t>
  </si>
  <si>
    <t xml:space="preserve">Составил   </t>
  </si>
  <si>
    <t>[должность,подпись(инициалы,фамилия)]</t>
  </si>
  <si>
    <t xml:space="preserve">Проверил   </t>
  </si>
  <si>
    <t>___________________________</t>
  </si>
  <si>
    <t>" ___ " ___________ 20 ___ г.</t>
  </si>
  <si>
    <t>№ п/п</t>
  </si>
  <si>
    <t>№ в ЛСР</t>
  </si>
  <si>
    <t>Количество</t>
  </si>
  <si>
    <t>Ссылка на чертежи, спецификации</t>
  </si>
  <si>
    <t>Формула расчета, расчет объемов работ и расхода материалов</t>
  </si>
  <si>
    <t>Примечание</t>
  </si>
  <si>
    <t>Главный инженер проекта _________________</t>
  </si>
  <si>
    <t>Составил _________________</t>
  </si>
  <si>
    <t xml:space="preserve">Мы, нижеподписавшиеся, произвели осмотр объекта </t>
  </si>
  <si>
    <t xml:space="preserve">и постановили произвести ремонт объекта в </t>
  </si>
  <si>
    <t>следующем объеме:</t>
  </si>
  <si>
    <t>Заказчик _________________</t>
  </si>
  <si>
    <t>Подрядчик _________________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</si>
  <si>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</si>
  <si>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</si>
  <si>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</si>
  <si>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</si>
  <si>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</si>
  <si>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0322005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</si>
  <si>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</si>
  <si>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</si>
  <si>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</si>
  <si>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</si>
  <si>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</si>
  <si>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</si>
  <si>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</si>
  <si>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</si>
  <si>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</si>
  <si>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 xml:space="preserve">Вид деятельности по ОКДП  </t>
  </si>
  <si>
    <t xml:space="preserve">Договор подряда  </t>
  </si>
  <si>
    <t>номер</t>
  </si>
  <si>
    <t>дата</t>
  </si>
  <si>
    <t xml:space="preserve">Вид операции  </t>
  </si>
  <si>
    <t>Номер документа</t>
  </si>
  <si>
    <t>Дата составления</t>
  </si>
  <si>
    <t>Отчетный период</t>
  </si>
  <si>
    <t>с</t>
  </si>
  <si>
    <t>по</t>
  </si>
  <si>
    <t>AKT</t>
  </si>
  <si>
    <t>О ПРИЕМКЕ ВЫПОЛНЕННЫХ РАБОТ</t>
  </si>
  <si>
    <t>Сметная (договорная) стоимость в соответствии с договором подряда (субподряда)</t>
  </si>
  <si>
    <t xml:space="preserve"> тыс.руб</t>
  </si>
  <si>
    <t>Номер</t>
  </si>
  <si>
    <t>п/п</t>
  </si>
  <si>
    <t>поз. по смете</t>
  </si>
  <si>
    <t xml:space="preserve">Сдал   </t>
  </si>
  <si>
    <t xml:space="preserve">Принял   </t>
  </si>
  <si>
    <t>TYPE</t>
  </si>
  <si>
    <t>SOURCE_LINK</t>
  </si>
  <si>
    <t>RABMAT_EX</t>
  </si>
  <si>
    <t>TIP_RAB</t>
  </si>
  <si>
    <t>TYPE_TRUD</t>
  </si>
  <si>
    <t>TAB</t>
  </si>
  <si>
    <t>NAME</t>
  </si>
  <si>
    <t>EDIZM</t>
  </si>
  <si>
    <t>KOLL</t>
  </si>
  <si>
    <t>UCH</t>
  </si>
  <si>
    <t>PRICE_B</t>
  </si>
  <si>
    <t>PRICE_ED</t>
  </si>
  <si>
    <t>STOIM_B</t>
  </si>
  <si>
    <t>PRICE_C</t>
  </si>
  <si>
    <t>STOIM_C</t>
  </si>
  <si>
    <t>ZPM_B</t>
  </si>
  <si>
    <t>ZPM_ED</t>
  </si>
  <si>
    <t>STOIM_ZPM_B</t>
  </si>
  <si>
    <t>ZPM_C</t>
  </si>
  <si>
    <t>STOIM_ZPM_C</t>
  </si>
  <si>
    <t>CRC_GR_RES</t>
  </si>
  <si>
    <t>CRC_B</t>
  </si>
  <si>
    <t>CRC_C</t>
  </si>
  <si>
    <t>RABMAT</t>
  </si>
  <si>
    <t>WBS</t>
  </si>
  <si>
    <t>CBSI</t>
  </si>
  <si>
    <t>CBSII</t>
  </si>
  <si>
    <t>TechSpecCVORPP</t>
  </si>
  <si>
    <t>BuildingFinished</t>
  </si>
  <si>
    <t>PEREVOZKA</t>
  </si>
  <si>
    <t>Trud</t>
  </si>
  <si>
    <t>Mash</t>
  </si>
  <si>
    <t>Mat</t>
  </si>
  <si>
    <t>MatZak</t>
  </si>
  <si>
    <t>Oborud</t>
  </si>
  <si>
    <t>OborudZak</t>
  </si>
  <si>
    <t>ZeroStoim</t>
  </si>
  <si>
    <t>NegativeKoll</t>
  </si>
  <si>
    <t>ReUnionKollResurcy</t>
  </si>
  <si>
    <t>UnionOneUchRes</t>
  </si>
  <si>
    <t>IdLevel</t>
  </si>
  <si>
    <t>ViewCodes</t>
  </si>
  <si>
    <t>UnionCodes</t>
  </si>
  <si>
    <t>Ресурсная ведомость на</t>
  </si>
  <si>
    <t>Обоснование</t>
  </si>
  <si>
    <t>Наименование</t>
  </si>
  <si>
    <t>Объем</t>
  </si>
  <si>
    <t>Базовая</t>
  </si>
  <si>
    <t>цена</t>
  </si>
  <si>
    <t>стоимость</t>
  </si>
  <si>
    <t>Текущая</t>
  </si>
  <si>
    <t xml:space="preserve">Материальные ресурсы </t>
  </si>
  <si>
    <t xml:space="preserve">Итого материальные ресурсы </t>
  </si>
  <si>
    <t>Унифицированная форма № КС-3</t>
  </si>
  <si>
    <t>Коды</t>
  </si>
  <si>
    <t xml:space="preserve">Инвестор </t>
  </si>
  <si>
    <t xml:space="preserve">Заказчик (генподрядчик) </t>
  </si>
  <si>
    <t xml:space="preserve">Подрядчик (субподрядчик) </t>
  </si>
  <si>
    <t xml:space="preserve">Стройка </t>
  </si>
  <si>
    <t>Вид деятельности  по ОКДП</t>
  </si>
  <si>
    <t xml:space="preserve">Договор подряда (контракт) </t>
  </si>
  <si>
    <t>Вид операции</t>
  </si>
  <si>
    <t>СПРАВКА</t>
  </si>
  <si>
    <t>СТОИМОСТИ ВЫПОЛНЕННЫХ РАБОТ И ЗАТРАТ</t>
  </si>
  <si>
    <t>Наименование пусковых комплексов, объектов, видов работ, оборудования, затрат</t>
  </si>
  <si>
    <t>Стоимость выполненных работ и затрат</t>
  </si>
  <si>
    <t>с начала проведения работ</t>
  </si>
  <si>
    <t>с начала года по отчетный период включительно</t>
  </si>
  <si>
    <t>в том числе за отчетный месяц</t>
  </si>
  <si>
    <t>Всего работ и затрат, включаемых в стоимость</t>
  </si>
  <si>
    <t>В том числе:</t>
  </si>
  <si>
    <t>Итого</t>
  </si>
  <si>
    <t xml:space="preserve">Сумма НДС </t>
  </si>
  <si>
    <t xml:space="preserve">Всего с учетом НДС </t>
  </si>
  <si>
    <t>должность</t>
  </si>
  <si>
    <t>подпись</t>
  </si>
  <si>
    <t>расшифровка подпись</t>
  </si>
  <si>
    <t>МП</t>
  </si>
  <si>
    <t xml:space="preserve">Итого по локальной смете: </t>
  </si>
  <si>
    <t>Оказание услуг по уборке валежника и санитарной обрезке деревьев 
на территории «Кинопарка Москино» в 2025 году</t>
  </si>
  <si>
    <t>Оказание услуг по уборке валежника и санитарной обрезке деревьев 
на территории Кинопарка</t>
  </si>
  <si>
    <t>Итого по смете: Выполнение работ по валежу и санитарной обрезке в Кинопарке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</si>
</sst>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"/>
    <numFmt numFmtId="165" formatCode="#,##0.00;[Red]\-\ #,##0.00"/>
    <numFmt numFmtId="166" formatCode="#,##0.00_ ;[Red]\-#,##0.00\ "/>
  </numFmts>
  <fonts count="1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 applyAlignment="1"/>
    <xf numFmtId="0" fontId="10" fillId="0" borderId="0" xfId="0" applyFont="1" applyAlignment="1"/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165" fontId="15" fillId="0" borderId="0" xfId="0" applyNumberFormat="1" applyFont="1" applyAlignment="1">
      <alignment horizontal="right"/>
    </xf>
    <xf numFmtId="165" fontId="0" fillId="0" borderId="0" xfId="0" applyNumberFormat="1"/>
    <xf numFmtId="0" fontId="16" fillId="0" borderId="0" xfId="0" applyFont="1" applyAlignment="1">
      <alignment horizontal="right"/>
    </xf>
    <xf numFmtId="0" fontId="0" fillId="0" borderId="6" xfId="0" applyBorder="1"/>
    <xf numFmtId="165" fontId="16" fillId="0" borderId="6" xfId="0" applyNumberFormat="1" applyFont="1" applyBorder="1" applyAlignment="1">
      <alignment horizontal="right"/>
    </xf>
    <xf numFmtId="0" fontId="16" fillId="0" borderId="0" xfId="0" applyFont="1"/>
    <xf numFmtId="0" fontId="10" fillId="0" borderId="1" xfId="0" applyFont="1" applyBorder="1"/>
    <xf numFmtId="0" fontId="16" fillId="0" borderId="0" xfId="0" applyFont="1" applyBorder="1" applyAlignment="1">
      <alignment horizontal="right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16" fillId="0" borderId="0" xfId="0" applyFont="1" applyBorder="1"/>
    <xf numFmtId="0" fontId="16" fillId="0" borderId="0" xfId="0" applyFont="1" applyBorder="1" applyAlignment="1">
      <alignment horizontal="left"/>
    </xf>
    <xf numFmtId="0" fontId="16" fillId="0" borderId="0" xfId="0" applyFont="1" applyAlignment="1">
      <alignment horizontal="left" vertical="top"/>
    </xf>
    <xf numFmtId="0" fontId="10" fillId="0" borderId="2" xfId="0" applyFont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10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wrapText="1"/>
    </xf>
    <xf numFmtId="0" fontId="10" fillId="0" borderId="3" xfId="0" applyFont="1" applyBorder="1" applyAlignment="1">
      <alignment horizontal="right" wrapText="1"/>
    </xf>
    <xf numFmtId="0" fontId="10" fillId="0" borderId="3" xfId="0" applyFont="1" applyBorder="1" applyAlignment="1">
      <alignment horizontal="right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right" wrapText="1"/>
    </xf>
    <xf numFmtId="0" fontId="10" fillId="0" borderId="2" xfId="0" applyFont="1" applyBorder="1" applyAlignment="1">
      <alignment horizontal="right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4" fontId="10" fillId="0" borderId="9" xfId="0" applyNumberFormat="1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15" fillId="0" borderId="3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left" vertical="top" wrapText="1"/>
    </xf>
    <xf numFmtId="165" fontId="10" fillId="0" borderId="3" xfId="0" applyNumberFormat="1" applyFont="1" applyBorder="1" applyAlignment="1">
      <alignment horizontal="right" wrapText="1"/>
    </xf>
    <xf numFmtId="0" fontId="10" fillId="0" borderId="13" xfId="0" applyFont="1" applyBorder="1" applyAlignment="1">
      <alignment horizontal="center"/>
    </xf>
    <xf numFmtId="14" fontId="10" fillId="0" borderId="0" xfId="0" applyNumberFormat="1" applyFont="1"/>
    <xf numFmtId="0" fontId="10" fillId="0" borderId="8" xfId="0" applyFont="1" applyBorder="1" applyAlignment="1">
      <alignment horizontal="center" vertical="center" wrapText="1" shrinkToFit="1"/>
    </xf>
    <xf numFmtId="0" fontId="10" fillId="0" borderId="8" xfId="0" applyFont="1" applyBorder="1" applyAlignment="1">
      <alignment horizontal="center" wrapText="1" shrinkToFit="1"/>
    </xf>
    <xf numFmtId="0" fontId="10" fillId="0" borderId="9" xfId="0" applyFont="1" applyBorder="1" applyAlignment="1">
      <alignment horizontal="center" vertical="center" wrapText="1" shrinkToFit="1"/>
    </xf>
    <xf numFmtId="166" fontId="0" fillId="0" borderId="0" xfId="0" applyNumberFormat="1"/>
    <xf numFmtId="0" fontId="9" fillId="0" borderId="5" xfId="0" applyFont="1" applyBorder="1" applyAlignment="1">
      <alignment horizontal="center"/>
    </xf>
    <xf numFmtId="165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165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right" vertical="center"/>
    </xf>
    <xf numFmtId="165" fontId="16" fillId="0" borderId="6" xfId="0" applyNumberFormat="1" applyFont="1" applyBorder="1" applyAlignment="1">
      <alignment horizontal="right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0" fillId="0" borderId="0" xfId="0" applyAlignment="1"/>
    <xf numFmtId="0" fontId="14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0" fillId="0" borderId="0" xfId="0" applyFont="1" applyBorder="1" applyAlignment="1">
      <alignment horizontal="left" wrapText="1"/>
    </xf>
    <xf numFmtId="0" fontId="16" fillId="0" borderId="0" xfId="0" applyFont="1" applyBorder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165" fontId="16" fillId="0" borderId="1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10" fillId="0" borderId="0" xfId="0" applyFont="1" applyBorder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14" fontId="10" fillId="0" borderId="3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8" fillId="0" borderId="0" xfId="0" applyFont="1" applyAlignment="1">
      <alignment horizontal="right"/>
    </xf>
    <xf numFmtId="0" fontId="10" fillId="0" borderId="3" xfId="0" quotePrefix="1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right"/>
    </xf>
    <xf numFmtId="165" fontId="16" fillId="0" borderId="3" xfId="0" applyNumberFormat="1" applyFont="1" applyBorder="1" applyAlignment="1">
      <alignment horizontal="right"/>
    </xf>
    <xf numFmtId="0" fontId="10" fillId="0" borderId="1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 shrinkToFit="1"/>
    </xf>
    <xf numFmtId="0" fontId="10" fillId="0" borderId="1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top" shrinkToFit="1"/>
    </xf>
    <xf numFmtId="0" fontId="10" fillId="0" borderId="0" xfId="0" applyFont="1" applyAlignment="1">
      <alignment horizontal="right" vertical="center" wrapText="1" shrinkToFit="1"/>
    </xf>
    <xf numFmtId="165" fontId="10" fillId="0" borderId="9" xfId="0" applyNumberFormat="1" applyFont="1" applyBorder="1" applyAlignment="1">
      <alignment horizontal="right" vertical="center" wrapText="1" shrinkToFit="1"/>
    </xf>
    <xf numFmtId="0" fontId="10" fillId="0" borderId="11" xfId="0" applyFont="1" applyBorder="1" applyAlignment="1">
      <alignment horizontal="right" vertical="center" wrapText="1" shrinkToFit="1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8" xfId="0" applyFont="1" applyBorder="1" applyAlignment="1">
      <alignment horizontal="justify" vertical="top" wrapText="1" shrinkToFit="1"/>
    </xf>
    <xf numFmtId="0" fontId="10" fillId="0" borderId="5" xfId="0" applyFont="1" applyBorder="1" applyAlignment="1">
      <alignment horizontal="justify" vertical="top" wrapText="1" shrinkToFit="1"/>
    </xf>
    <xf numFmtId="165" fontId="10" fillId="0" borderId="8" xfId="0" applyNumberFormat="1" applyFont="1" applyBorder="1" applyAlignment="1">
      <alignment horizontal="right" wrapText="1" shrinkToFit="1"/>
    </xf>
    <xf numFmtId="0" fontId="10" fillId="0" borderId="5" xfId="0" applyFont="1" applyBorder="1" applyAlignment="1">
      <alignment horizontal="right" wrapText="1" shrinkToFit="1"/>
    </xf>
    <xf numFmtId="0" fontId="10" fillId="0" borderId="13" xfId="0" applyFont="1" applyBorder="1" applyAlignment="1">
      <alignment horizontal="right" wrapText="1" shrinkToFit="1"/>
    </xf>
    <xf numFmtId="0" fontId="10" fillId="0" borderId="9" xfId="0" applyFont="1" applyBorder="1" applyAlignment="1">
      <alignment horizontal="justify" vertical="top" wrapText="1" shrinkToFit="1"/>
    </xf>
    <xf numFmtId="0" fontId="10" fillId="0" borderId="10" xfId="0" applyFont="1" applyBorder="1" applyAlignment="1">
      <alignment horizontal="justify" vertical="top" wrapText="1" shrinkToFit="1"/>
    </xf>
    <xf numFmtId="0" fontId="10" fillId="0" borderId="13" xfId="0" applyFont="1" applyBorder="1" applyAlignment="1">
      <alignment horizontal="justify" vertical="top" wrapText="1" shrinkToFit="1"/>
    </xf>
    <xf numFmtId="0" fontId="10" fillId="0" borderId="5" xfId="0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165" fontId="10" fillId="0" borderId="8" xfId="0" applyNumberFormat="1" applyFont="1" applyBorder="1" applyAlignment="1">
      <alignment horizontal="right"/>
    </xf>
    <xf numFmtId="165" fontId="10" fillId="0" borderId="8" xfId="0" applyNumberFormat="1" applyFont="1" applyBorder="1" applyAlignment="1">
      <alignment horizontal="right" vertical="center" wrapText="1" shrinkToFit="1"/>
    </xf>
    <xf numFmtId="0" fontId="10" fillId="0" borderId="13" xfId="0" applyFont="1" applyBorder="1" applyAlignment="1">
      <alignment horizontal="right" vertical="center" wrapText="1" shrinkToFit="1"/>
    </xf>
    <xf numFmtId="0" fontId="10" fillId="0" borderId="8" xfId="0" applyFont="1" applyBorder="1" applyAlignment="1">
      <alignment horizontal="center" vertical="center" wrapText="1" shrinkToFit="1"/>
    </xf>
    <xf numFmtId="0" fontId="10" fillId="0" borderId="7" xfId="0" applyFont="1" applyBorder="1" applyAlignment="1">
      <alignment horizontal="center" vertical="center" wrapText="1" shrinkToFit="1"/>
    </xf>
    <xf numFmtId="0" fontId="10" fillId="0" borderId="5" xfId="0" applyFont="1" applyBorder="1" applyAlignment="1">
      <alignment horizontal="center" vertical="center" wrapText="1" shrinkToFit="1"/>
    </xf>
    <xf numFmtId="0" fontId="10" fillId="0" borderId="0" xfId="0" applyFont="1" applyBorder="1" applyAlignment="1">
      <alignment horizontal="center" vertical="center" wrapText="1" shrinkToFit="1"/>
    </xf>
    <xf numFmtId="0" fontId="10" fillId="0" borderId="13" xfId="0" applyFont="1" applyBorder="1" applyAlignment="1">
      <alignment horizontal="center" vertical="center" wrapText="1" shrinkToFit="1"/>
    </xf>
    <xf numFmtId="0" fontId="10" fillId="0" borderId="12" xfId="0" applyFont="1" applyBorder="1" applyAlignment="1">
      <alignment horizontal="center" vertical="center" wrapText="1" shrinkToFit="1"/>
    </xf>
    <xf numFmtId="0" fontId="10" fillId="0" borderId="9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14" fontId="10" fillId="0" borderId="8" xfId="0" applyNumberFormat="1" applyFont="1" applyBorder="1" applyAlignment="1">
      <alignment horizontal="center"/>
    </xf>
    <xf numFmtId="14" fontId="10" fillId="0" borderId="13" xfId="0" applyNumberFormat="1" applyFont="1" applyBorder="1" applyAlignment="1">
      <alignment horizontal="center"/>
    </xf>
    <xf numFmtId="0" fontId="10" fillId="0" borderId="9" xfId="0" applyFont="1" applyBorder="1"/>
    <xf numFmtId="0" fontId="10" fillId="0" borderId="11" xfId="0" applyFont="1" applyBorder="1"/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14" fontId="10" fillId="0" borderId="9" xfId="0" applyNumberFormat="1" applyFont="1" applyBorder="1" applyAlignment="1">
      <alignment horizontal="center"/>
    </xf>
    <xf numFmtId="14" fontId="10" fillId="0" borderId="11" xfId="0" applyNumberFormat="1" applyFont="1" applyBorder="1" applyAlignment="1">
      <alignment horizontal="center"/>
    </xf>
    <xf numFmtId="14" fontId="10" fillId="0" borderId="10" xfId="0" applyNumberFormat="1" applyFont="1" applyBorder="1" applyAlignment="1">
      <alignment horizontal="center"/>
    </xf>
    <xf numFmtId="0" fontId="10" fillId="0" borderId="8" xfId="0" applyFont="1" applyBorder="1" applyAlignment="1">
      <alignment horizontal="right"/>
    </xf>
    <xf numFmtId="0" fontId="10" fillId="0" borderId="1" xfId="0" applyFont="1" applyBorder="1"/>
    <xf numFmtId="0" fontId="10" fillId="0" borderId="7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31"/>
  <sheetViews>
    <sheetView tabSelected="1" topLeftCell="A94" zoomScaleNormal="100" workbookViewId="0">
      <selection activeCell="I136" sqref="I136"/>
    </sheetView>
  </sheetViews>
  <sheetFormatPr defaultRowHeight="13.2" x14ac:dyDescent="0.25"/>
  <cols>
    <col min="1" max="1" width="5.88671875" customWidth="1"/>
    <col min="2" max="2" width="11.88671875" customWidth="1"/>
    <col min="3" max="3" width="40.88671875" customWidth="1"/>
    <col min="4" max="6" width="11.88671875" customWidth="1"/>
    <col min="7" max="7" width="12.88671875" customWidth="1"/>
    <col min="9" max="11" width="12.88671875" customWidth="1"/>
    <col min="12" max="12" width="12.109375" bestFit="1" customWidth="1"/>
    <col min="15" max="36" width="0" hidden="1" customWidth="1"/>
  </cols>
  <sheetData>
    <row r="1" spans="1:11" x14ac:dyDescent="0.25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3.8" x14ac:dyDescent="0.25">
      <c r="A2" s="9"/>
      <c r="B2" s="9"/>
      <c r="C2" s="9"/>
      <c r="D2" s="9"/>
      <c r="E2" s="9"/>
      <c r="F2" s="9"/>
      <c r="G2" s="9"/>
      <c r="H2" s="9"/>
      <c r="I2" s="9"/>
      <c r="J2" s="78" t="s">
        <v>160</v>
      </c>
      <c r="K2" s="78"/>
    </row>
    <row r="3" spans="1:11" ht="16.8" x14ac:dyDescent="0.3">
      <c r="A3" s="11"/>
      <c r="B3" s="85" t="s">
        <v>158</v>
      </c>
      <c r="C3" s="85"/>
      <c r="D3" s="85"/>
      <c r="E3" s="85"/>
      <c r="F3" s="10"/>
      <c r="G3" s="85" t="s">
        <v>159</v>
      </c>
      <c r="H3" s="85"/>
      <c r="I3" s="85"/>
      <c r="J3" s="85"/>
      <c r="K3" s="85"/>
    </row>
    <row r="4" spans="1:11" ht="13.8" x14ac:dyDescent="0.25">
      <c r="A4" s="10"/>
      <c r="B4" s="77"/>
      <c r="C4" s="77"/>
      <c r="D4" s="77"/>
      <c r="E4" s="77"/>
      <c r="F4" s="10"/>
      <c r="G4" s="77"/>
      <c r="H4" s="77"/>
      <c r="I4" s="77"/>
      <c r="J4" s="77"/>
      <c r="K4" s="77"/>
    </row>
    <row r="5" spans="1:11" ht="13.8" x14ac:dyDescent="0.25">
      <c r="A5" s="12"/>
      <c r="B5" s="12"/>
      <c r="C5" s="13"/>
      <c r="D5" s="13"/>
      <c r="E5" s="13"/>
      <c r="F5" s="10"/>
      <c r="G5" s="14"/>
      <c r="H5" s="13"/>
      <c r="I5" s="13"/>
      <c r="J5" s="13"/>
      <c r="K5" s="14"/>
    </row>
    <row r="6" spans="1:11" ht="13.8" x14ac:dyDescent="0.25">
      <c r="A6" s="14"/>
      <c r="B6" s="77" t="str">
        <f>CONCATENATE("______________________ ", IF(Source!AL12&lt;&gt;"", Source!AL12, ""))</f>
        <v xml:space="preserve">______________________ </v>
      </c>
      <c r="C6" s="77"/>
      <c r="D6" s="77"/>
      <c r="E6" s="77"/>
      <c r="F6" s="10"/>
      <c r="G6" s="77" t="str">
        <f>CONCATENATE("______________________ ", IF(Source!AH12&lt;&gt;"", Source!AH12, ""))</f>
        <v xml:space="preserve">______________________ </v>
      </c>
      <c r="H6" s="77"/>
      <c r="I6" s="77"/>
      <c r="J6" s="77"/>
      <c r="K6" s="77"/>
    </row>
    <row r="7" spans="1:11" ht="13.8" x14ac:dyDescent="0.25">
      <c r="A7" s="15"/>
      <c r="B7" s="86" t="s">
        <v>161</v>
      </c>
      <c r="C7" s="86"/>
      <c r="D7" s="86"/>
      <c r="E7" s="86"/>
      <c r="F7" s="10"/>
      <c r="G7" s="86" t="s">
        <v>161</v>
      </c>
      <c r="H7" s="86"/>
      <c r="I7" s="86"/>
      <c r="J7" s="86"/>
      <c r="K7" s="86"/>
    </row>
    <row r="9" spans="1:11" ht="13.8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6" x14ac:dyDescent="0.3">
      <c r="A10" s="79" t="str">
        <f>CONCATENATE( "ЛОКАЛЬНАЯ СМЕТА № ",IF(Source!F20&lt;&gt;"Новая локальная смета", Source!F20, ""))</f>
        <v xml:space="preserve">ЛОКАЛЬНАЯ СМЕТА № 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</row>
    <row r="11" spans="1:11" x14ac:dyDescent="0.25">
      <c r="A11" s="81" t="s">
        <v>162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</row>
    <row r="12" spans="1:11" ht="13.8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7.399999999999999" hidden="1" x14ac:dyDescent="0.3">
      <c r="A13" s="84" t="str">
        <f>IF(Source!G20&lt;&gt;"Новая локальная смета", Source!G20, "")</f>
        <v/>
      </c>
      <c r="B13" s="84"/>
      <c r="C13" s="84"/>
      <c r="D13" s="84"/>
      <c r="E13" s="84"/>
      <c r="F13" s="84"/>
      <c r="G13" s="84"/>
      <c r="H13" s="84"/>
      <c r="I13" s="84"/>
      <c r="J13" s="84"/>
      <c r="K13" s="84"/>
    </row>
    <row r="14" spans="1:11" ht="13.8" hidden="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38.4" customHeight="1" x14ac:dyDescent="0.3">
      <c r="A15" s="82" t="s">
        <v>327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</row>
    <row r="16" spans="1:11" x14ac:dyDescent="0.25">
      <c r="A16" s="81" t="s">
        <v>163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</row>
    <row r="17" spans="1:22" ht="13.8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22" ht="13.8" x14ac:dyDescent="0.25">
      <c r="A18" s="71" t="str">
        <f>CONCATENATE( "Основание: чертежи № ", Source!J20)</f>
        <v xml:space="preserve">Основание: чертежи № 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</row>
    <row r="19" spans="1:22" ht="13.8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22" ht="13.8" x14ac:dyDescent="0.25">
      <c r="A20" s="10"/>
      <c r="B20" s="10"/>
      <c r="C20" s="10"/>
      <c r="D20" s="10"/>
      <c r="E20" s="10"/>
      <c r="F20" s="77" t="s">
        <v>164</v>
      </c>
      <c r="G20" s="77"/>
      <c r="H20" s="77"/>
      <c r="I20" s="72">
        <f>I21+I22+I23+I24</f>
        <v>2122.94</v>
      </c>
      <c r="J20" s="78"/>
      <c r="K20" s="10" t="s">
        <v>165</v>
      </c>
    </row>
    <row r="21" spans="1:22" ht="13.8" hidden="1" x14ac:dyDescent="0.25">
      <c r="A21" s="10"/>
      <c r="B21" s="10"/>
      <c r="C21" s="10"/>
      <c r="D21" s="10"/>
      <c r="E21" s="10"/>
      <c r="F21" s="77" t="s">
        <v>166</v>
      </c>
      <c r="G21" s="77"/>
      <c r="H21" s="77"/>
      <c r="I21" s="72">
        <f>ROUND((Source!F54)/1000, 2)</f>
        <v>0</v>
      </c>
      <c r="J21" s="78"/>
      <c r="K21" s="10" t="s">
        <v>165</v>
      </c>
    </row>
    <row r="22" spans="1:22" ht="13.8" hidden="1" x14ac:dyDescent="0.25">
      <c r="A22" s="10"/>
      <c r="B22" s="10"/>
      <c r="C22" s="10"/>
      <c r="D22" s="10"/>
      <c r="E22" s="10"/>
      <c r="F22" s="77" t="s">
        <v>167</v>
      </c>
      <c r="G22" s="77"/>
      <c r="H22" s="77"/>
      <c r="I22" s="72">
        <f>ROUND((Source!F55)/1000, 2)</f>
        <v>0</v>
      </c>
      <c r="J22" s="78"/>
      <c r="K22" s="10" t="s">
        <v>165</v>
      </c>
    </row>
    <row r="23" spans="1:22" ht="13.8" hidden="1" x14ac:dyDescent="0.25">
      <c r="A23" s="10"/>
      <c r="B23" s="10"/>
      <c r="C23" s="10"/>
      <c r="D23" s="10"/>
      <c r="E23" s="10"/>
      <c r="F23" s="77" t="s">
        <v>168</v>
      </c>
      <c r="G23" s="77"/>
      <c r="H23" s="77"/>
      <c r="I23" s="72">
        <f>ROUND((Source!F46)/1000, 2)</f>
        <v>0</v>
      </c>
      <c r="J23" s="78"/>
      <c r="K23" s="10" t="s">
        <v>165</v>
      </c>
    </row>
    <row r="24" spans="1:22" ht="13.8" hidden="1" x14ac:dyDescent="0.25">
      <c r="A24" s="10"/>
      <c r="B24" s="10"/>
      <c r="C24" s="10"/>
      <c r="D24" s="10"/>
      <c r="E24" s="10"/>
      <c r="F24" s="77" t="s">
        <v>169</v>
      </c>
      <c r="G24" s="77"/>
      <c r="H24" s="77"/>
      <c r="I24" s="72">
        <f>ROUND((Source!F56+Source!F57)/1000, 2)</f>
        <v>2122.94</v>
      </c>
      <c r="J24" s="78"/>
      <c r="K24" s="10" t="s">
        <v>165</v>
      </c>
    </row>
    <row r="25" spans="1:22" ht="13.8" x14ac:dyDescent="0.25">
      <c r="A25" s="10"/>
      <c r="B25" s="10"/>
      <c r="C25" s="10"/>
      <c r="D25" s="10"/>
      <c r="E25" s="10"/>
      <c r="F25" s="77" t="s">
        <v>170</v>
      </c>
      <c r="G25" s="77"/>
      <c r="H25" s="77"/>
      <c r="I25" s="72">
        <f>(Source!F52+ Source!F51)/1000</f>
        <v>967.69252000000006</v>
      </c>
      <c r="J25" s="78"/>
      <c r="K25" s="10" t="s">
        <v>165</v>
      </c>
    </row>
    <row r="26" spans="1:22" ht="13.8" x14ac:dyDescent="0.25">
      <c r="A26" s="10" t="s">
        <v>184</v>
      </c>
      <c r="B26" s="10"/>
      <c r="C26" s="10"/>
      <c r="D26" s="16"/>
      <c r="E26" s="17"/>
      <c r="F26" s="10"/>
      <c r="G26" s="10"/>
      <c r="H26" s="10"/>
      <c r="I26" s="10"/>
      <c r="J26" s="10"/>
      <c r="K26" s="10"/>
    </row>
    <row r="27" spans="1:22" ht="14.4" x14ac:dyDescent="0.25">
      <c r="A27" s="75" t="s">
        <v>171</v>
      </c>
      <c r="B27" s="75" t="s">
        <v>172</v>
      </c>
      <c r="C27" s="75" t="s">
        <v>173</v>
      </c>
      <c r="D27" s="75" t="s">
        <v>174</v>
      </c>
      <c r="E27" s="75" t="s">
        <v>175</v>
      </c>
      <c r="F27" s="75" t="s">
        <v>176</v>
      </c>
      <c r="G27" s="75" t="s">
        <v>177</v>
      </c>
      <c r="H27" s="75" t="s">
        <v>178</v>
      </c>
      <c r="I27" s="75" t="s">
        <v>179</v>
      </c>
      <c r="J27" s="75" t="s">
        <v>180</v>
      </c>
      <c r="K27" s="18" t="s">
        <v>181</v>
      </c>
    </row>
    <row r="28" spans="1:22" ht="27.6" x14ac:dyDescent="0.25">
      <c r="A28" s="76"/>
      <c r="B28" s="76"/>
      <c r="C28" s="76"/>
      <c r="D28" s="76"/>
      <c r="E28" s="76"/>
      <c r="F28" s="76"/>
      <c r="G28" s="76"/>
      <c r="H28" s="76"/>
      <c r="I28" s="76"/>
      <c r="J28" s="76"/>
      <c r="K28" s="19" t="s">
        <v>182</v>
      </c>
    </row>
    <row r="29" spans="1:22" ht="27.6" x14ac:dyDescent="0.25">
      <c r="A29" s="76"/>
      <c r="B29" s="76"/>
      <c r="C29" s="76"/>
      <c r="D29" s="76"/>
      <c r="E29" s="76"/>
      <c r="F29" s="76"/>
      <c r="G29" s="76"/>
      <c r="H29" s="76"/>
      <c r="I29" s="76"/>
      <c r="J29" s="76"/>
      <c r="K29" s="19" t="s">
        <v>183</v>
      </c>
    </row>
    <row r="30" spans="1:22" ht="13.8" x14ac:dyDescent="0.25">
      <c r="A30" s="19">
        <v>1</v>
      </c>
      <c r="B30" s="19">
        <v>2</v>
      </c>
      <c r="C30" s="19">
        <v>3</v>
      </c>
      <c r="D30" s="19">
        <v>4</v>
      </c>
      <c r="E30" s="19">
        <v>5</v>
      </c>
      <c r="F30" s="19">
        <v>6</v>
      </c>
      <c r="G30" s="19">
        <v>7</v>
      </c>
      <c r="H30" s="19">
        <v>8</v>
      </c>
      <c r="I30" s="19">
        <v>9</v>
      </c>
      <c r="J30" s="19">
        <v>10</v>
      </c>
      <c r="K30" s="19">
        <v>11</v>
      </c>
    </row>
    <row r="31" spans="1:22" ht="55.2" x14ac:dyDescent="0.3">
      <c r="A31" s="20">
        <v>1</v>
      </c>
      <c r="B31" s="20" t="str">
        <f>Source!F24</f>
        <v>5.4-3104-14-3/1</v>
      </c>
      <c r="C31" s="20" t="str">
        <f>Source!G24</f>
        <v>Разделка упавших деревьев вручную с переноской порубочных остатков - диаметром до 300 мм на расстояние 25 м</v>
      </c>
      <c r="D31" s="21" t="str">
        <f>Source!H24</f>
        <v>шт.</v>
      </c>
      <c r="E31" s="9">
        <f>Source!I24</f>
        <v>85</v>
      </c>
      <c r="F31" s="23"/>
      <c r="G31" s="22"/>
      <c r="H31" s="9"/>
      <c r="I31" s="9"/>
      <c r="J31" s="23"/>
      <c r="K31" s="23"/>
      <c r="Q31">
        <f>ROUND((Source!BZ24/100)*ROUND((Source!AF24*Source!AV24)*Source!I24, 2), 2)</f>
        <v>52176.74</v>
      </c>
      <c r="R31">
        <f>Source!X24</f>
        <v>52176.74</v>
      </c>
      <c r="S31">
        <f>ROUND((Source!CA24/100)*ROUND((Source!AF24*Source!AV24)*Source!I24, 2), 2)</f>
        <v>7453.82</v>
      </c>
      <c r="T31">
        <f>Source!Y24</f>
        <v>7453.82</v>
      </c>
      <c r="U31">
        <f>ROUND((175/100)*ROUND((Source!AE24*Source!AV24)*Source!I24, 2), 2)</f>
        <v>19.34</v>
      </c>
      <c r="V31">
        <f>ROUND((108/100)*ROUND(Source!CS24*Source!I24, 2), 2)</f>
        <v>11.93</v>
      </c>
    </row>
    <row r="32" spans="1:22" ht="14.4" x14ac:dyDescent="0.3">
      <c r="A32" s="20"/>
      <c r="B32" s="20"/>
      <c r="C32" s="20" t="s">
        <v>185</v>
      </c>
      <c r="D32" s="21"/>
      <c r="E32" s="9"/>
      <c r="F32" s="23">
        <f>Source!AO24</f>
        <v>876.92</v>
      </c>
      <c r="G32" s="22" t="str">
        <f>Source!DG24</f>
        <v/>
      </c>
      <c r="H32" s="9">
        <f>Source!AV24</f>
        <v>1</v>
      </c>
      <c r="I32" s="9">
        <f>IF(Source!BA24&lt;&gt; 0, Source!BA24, 1)</f>
        <v>1</v>
      </c>
      <c r="J32" s="23">
        <f>Source!S24</f>
        <v>74538.2</v>
      </c>
      <c r="K32" s="23"/>
    </row>
    <row r="33" spans="1:22" ht="14.4" x14ac:dyDescent="0.3">
      <c r="A33" s="20"/>
      <c r="B33" s="20"/>
      <c r="C33" s="20" t="s">
        <v>186</v>
      </c>
      <c r="D33" s="21"/>
      <c r="E33" s="9"/>
      <c r="F33" s="23">
        <f>Source!AM24</f>
        <v>50.81</v>
      </c>
      <c r="G33" s="22" t="str">
        <f>Source!DE24</f>
        <v/>
      </c>
      <c r="H33" s="9">
        <f>Source!AV24</f>
        <v>1</v>
      </c>
      <c r="I33" s="9">
        <f>IF(Source!BB24&lt;&gt; 0, Source!BB24, 1)</f>
        <v>1</v>
      </c>
      <c r="J33" s="23">
        <f>Source!Q24</f>
        <v>4318.8500000000004</v>
      </c>
      <c r="K33" s="23"/>
    </row>
    <row r="34" spans="1:22" ht="14.4" x14ac:dyDescent="0.3">
      <c r="A34" s="20"/>
      <c r="B34" s="20"/>
      <c r="C34" s="20" t="s">
        <v>187</v>
      </c>
      <c r="D34" s="21"/>
      <c r="E34" s="9"/>
      <c r="F34" s="23">
        <f>Source!AN24</f>
        <v>0.13</v>
      </c>
      <c r="G34" s="22" t="str">
        <f>Source!DF24</f>
        <v/>
      </c>
      <c r="H34" s="9">
        <f>Source!AV24</f>
        <v>1</v>
      </c>
      <c r="I34" s="9">
        <f>IF(Source!BS24&lt;&gt; 0, Source!BS24, 1)</f>
        <v>1</v>
      </c>
      <c r="J34" s="24">
        <f>Source!R24</f>
        <v>11.05</v>
      </c>
      <c r="K34" s="23"/>
    </row>
    <row r="35" spans="1:22" ht="14.4" x14ac:dyDescent="0.3">
      <c r="A35" s="20"/>
      <c r="B35" s="20"/>
      <c r="C35" s="20" t="s">
        <v>188</v>
      </c>
      <c r="D35" s="21" t="s">
        <v>189</v>
      </c>
      <c r="E35" s="9">
        <f>Source!AT24</f>
        <v>70</v>
      </c>
      <c r="F35" s="23"/>
      <c r="G35" s="22"/>
      <c r="H35" s="9"/>
      <c r="I35" s="9"/>
      <c r="J35" s="23">
        <f>SUM(R31:R34)</f>
        <v>52176.74</v>
      </c>
      <c r="K35" s="23"/>
    </row>
    <row r="36" spans="1:22" ht="14.4" x14ac:dyDescent="0.3">
      <c r="A36" s="20"/>
      <c r="B36" s="20"/>
      <c r="C36" s="20" t="s">
        <v>190</v>
      </c>
      <c r="D36" s="21" t="s">
        <v>189</v>
      </c>
      <c r="E36" s="9">
        <f>Source!AU24</f>
        <v>10</v>
      </c>
      <c r="F36" s="23"/>
      <c r="G36" s="22"/>
      <c r="H36" s="9"/>
      <c r="I36" s="9"/>
      <c r="J36" s="23">
        <f>SUM(T31:T35)</f>
        <v>7453.82</v>
      </c>
      <c r="K36" s="23"/>
    </row>
    <row r="37" spans="1:22" ht="14.4" x14ac:dyDescent="0.3">
      <c r="A37" s="20"/>
      <c r="B37" s="20"/>
      <c r="C37" s="20" t="s">
        <v>191</v>
      </c>
      <c r="D37" s="21" t="s">
        <v>189</v>
      </c>
      <c r="E37" s="9">
        <f>108</f>
        <v>108</v>
      </c>
      <c r="F37" s="23"/>
      <c r="G37" s="22"/>
      <c r="H37" s="9"/>
      <c r="I37" s="9"/>
      <c r="J37" s="23">
        <f>SUM(V31:V36)</f>
        <v>11.93</v>
      </c>
      <c r="K37" s="23"/>
    </row>
    <row r="38" spans="1:22" ht="14.4" x14ac:dyDescent="0.3">
      <c r="A38" s="20"/>
      <c r="B38" s="20"/>
      <c r="C38" s="20" t="s">
        <v>192</v>
      </c>
      <c r="D38" s="21" t="s">
        <v>193</v>
      </c>
      <c r="E38" s="9">
        <f>Source!AQ24</f>
        <v>1.81</v>
      </c>
      <c r="F38" s="23"/>
      <c r="G38" s="22" t="str">
        <f>Source!DI24</f>
        <v/>
      </c>
      <c r="H38" s="9">
        <f>Source!AV24</f>
        <v>1</v>
      </c>
      <c r="I38" s="9"/>
      <c r="J38" s="23"/>
      <c r="K38" s="23">
        <f>Source!U24</f>
        <v>153.85</v>
      </c>
    </row>
    <row r="39" spans="1:22" ht="13.8" x14ac:dyDescent="0.25">
      <c r="A39" s="27"/>
      <c r="B39" s="27"/>
      <c r="C39" s="27"/>
      <c r="D39" s="27"/>
      <c r="E39" s="27"/>
      <c r="F39" s="27"/>
      <c r="G39" s="27"/>
      <c r="H39" s="27"/>
      <c r="I39" s="74">
        <f>J32+J33+J35+J36+J37</f>
        <v>138499.54</v>
      </c>
      <c r="J39" s="74"/>
      <c r="K39" s="28">
        <f>IF(Source!I24&lt;&gt;0, ROUND(I39/Source!I24, 2), 0)</f>
        <v>1629.41</v>
      </c>
      <c r="P39" s="25">
        <f>I39</f>
        <v>138499.54</v>
      </c>
    </row>
    <row r="40" spans="1:22" ht="55.2" x14ac:dyDescent="0.3">
      <c r="A40" s="20">
        <v>2</v>
      </c>
      <c r="B40" s="20" t="str">
        <f>Source!F25</f>
        <v>5.4-3104-15-3/1</v>
      </c>
      <c r="C40" s="20" t="str">
        <f>Source!G25</f>
        <v>Разделка упавших деревьев вручную с переноской порубочных остатков - диаметром до 300 мм, добавлять на каждые 10 м переноски сверх 25 м</v>
      </c>
      <c r="D40" s="21" t="str">
        <f>Source!H25</f>
        <v>шт.</v>
      </c>
      <c r="E40" s="9">
        <f>Source!I25</f>
        <v>85</v>
      </c>
      <c r="F40" s="23"/>
      <c r="G40" s="22"/>
      <c r="H40" s="9"/>
      <c r="I40" s="9"/>
      <c r="J40" s="23"/>
      <c r="K40" s="23"/>
      <c r="Q40">
        <f>ROUND((Source!BZ25/100)*ROUND((Source!AF25*Source!AV25)*Source!I25, 2), 2)</f>
        <v>23833.32</v>
      </c>
      <c r="R40">
        <f>Source!X25</f>
        <v>23833.32</v>
      </c>
      <c r="S40">
        <f>ROUND((Source!CA25/100)*ROUND((Source!AF25*Source!AV25)*Source!I25, 2), 2)</f>
        <v>3404.76</v>
      </c>
      <c r="T40">
        <f>Source!Y25</f>
        <v>3404.76</v>
      </c>
      <c r="U40">
        <f>ROUND((175/100)*ROUND((Source!AE25*Source!AV25)*Source!I25, 2), 2)</f>
        <v>0</v>
      </c>
      <c r="V40">
        <f>ROUND((108/100)*ROUND(Source!CS25*Source!I25, 2), 2)</f>
        <v>0</v>
      </c>
    </row>
    <row r="41" spans="1:22" ht="14.4" x14ac:dyDescent="0.3">
      <c r="A41" s="20"/>
      <c r="B41" s="20"/>
      <c r="C41" s="20" t="s">
        <v>185</v>
      </c>
      <c r="D41" s="21"/>
      <c r="E41" s="9"/>
      <c r="F41" s="23">
        <f>Source!AO25</f>
        <v>200.28</v>
      </c>
      <c r="G41" s="22" t="str">
        <f>Source!DG25</f>
        <v>)*2</v>
      </c>
      <c r="H41" s="9">
        <f>Source!AV25</f>
        <v>1</v>
      </c>
      <c r="I41" s="9">
        <f>IF(Source!BA25&lt;&gt; 0, Source!BA25, 1)</f>
        <v>1</v>
      </c>
      <c r="J41" s="23">
        <f>Source!S25</f>
        <v>34047.599999999999</v>
      </c>
      <c r="K41" s="23"/>
    </row>
    <row r="42" spans="1:22" ht="14.4" x14ac:dyDescent="0.3">
      <c r="A42" s="20"/>
      <c r="B42" s="20"/>
      <c r="C42" s="20" t="s">
        <v>188</v>
      </c>
      <c r="D42" s="21" t="s">
        <v>189</v>
      </c>
      <c r="E42" s="9">
        <f>Source!AT25</f>
        <v>70</v>
      </c>
      <c r="F42" s="23"/>
      <c r="G42" s="22"/>
      <c r="H42" s="9"/>
      <c r="I42" s="9"/>
      <c r="J42" s="23">
        <f>SUM(R40:R41)</f>
        <v>23833.32</v>
      </c>
      <c r="K42" s="23"/>
    </row>
    <row r="43" spans="1:22" ht="14.4" x14ac:dyDescent="0.3">
      <c r="A43" s="20"/>
      <c r="B43" s="20"/>
      <c r="C43" s="20" t="s">
        <v>190</v>
      </c>
      <c r="D43" s="21" t="s">
        <v>189</v>
      </c>
      <c r="E43" s="9">
        <f>Source!AU25</f>
        <v>10</v>
      </c>
      <c r="F43" s="23"/>
      <c r="G43" s="22"/>
      <c r="H43" s="9"/>
      <c r="I43" s="9"/>
      <c r="J43" s="23">
        <f>SUM(T40:T42)</f>
        <v>3404.76</v>
      </c>
      <c r="K43" s="23"/>
    </row>
    <row r="44" spans="1:22" ht="14.4" x14ac:dyDescent="0.3">
      <c r="A44" s="20"/>
      <c r="B44" s="20"/>
      <c r="C44" s="20" t="s">
        <v>192</v>
      </c>
      <c r="D44" s="21" t="s">
        <v>193</v>
      </c>
      <c r="E44" s="9">
        <f>Source!AQ25</f>
        <v>0.46</v>
      </c>
      <c r="F44" s="23"/>
      <c r="G44" s="22" t="str">
        <f>Source!DI25</f>
        <v>)*2</v>
      </c>
      <c r="H44" s="9">
        <f>Source!AV25</f>
        <v>1</v>
      </c>
      <c r="I44" s="9"/>
      <c r="J44" s="23"/>
      <c r="K44" s="23">
        <f>Source!U25</f>
        <v>78.2</v>
      </c>
    </row>
    <row r="45" spans="1:22" ht="13.8" x14ac:dyDescent="0.25">
      <c r="A45" s="27"/>
      <c r="B45" s="27"/>
      <c r="C45" s="27"/>
      <c r="D45" s="27"/>
      <c r="E45" s="27"/>
      <c r="F45" s="27"/>
      <c r="G45" s="27"/>
      <c r="H45" s="27"/>
      <c r="I45" s="74">
        <f>J41+J42+J43</f>
        <v>61285.68</v>
      </c>
      <c r="J45" s="74"/>
      <c r="K45" s="28">
        <f>IF(Source!I25&lt;&gt;0, ROUND(I45/Source!I25, 2), 0)</f>
        <v>721.01</v>
      </c>
      <c r="P45" s="25">
        <f>I45</f>
        <v>61285.68</v>
      </c>
    </row>
    <row r="46" spans="1:22" ht="55.2" x14ac:dyDescent="0.3">
      <c r="A46" s="20">
        <v>3</v>
      </c>
      <c r="B46" s="20" t="str">
        <f>Source!F26</f>
        <v>5.4-3104-14-4/1</v>
      </c>
      <c r="C46" s="20" t="str">
        <f>Source!G26</f>
        <v>Разделка упавших деревьев вручную с переноской порубочных остатков - диаметром до 400 мм на расстояние 25 м</v>
      </c>
      <c r="D46" s="21" t="str">
        <f>Source!H26</f>
        <v>шт.</v>
      </c>
      <c r="E46" s="9">
        <f>Source!I26</f>
        <v>50</v>
      </c>
      <c r="F46" s="23"/>
      <c r="G46" s="22"/>
      <c r="H46" s="9"/>
      <c r="I46" s="9"/>
      <c r="J46" s="23"/>
      <c r="K46" s="23"/>
      <c r="Q46">
        <f>ROUND((Source!BZ26/100)*ROUND((Source!AF26*Source!AV26)*Source!I26, 2), 2)</f>
        <v>45885</v>
      </c>
      <c r="R46">
        <f>Source!X26</f>
        <v>45885</v>
      </c>
      <c r="S46">
        <f>ROUND((Source!CA26/100)*ROUND((Source!AF26*Source!AV26)*Source!I26, 2), 2)</f>
        <v>6555</v>
      </c>
      <c r="T46">
        <f>Source!Y26</f>
        <v>6555</v>
      </c>
      <c r="U46">
        <f>ROUND((175/100)*ROUND((Source!AE26*Source!AV26)*Source!I26, 2), 2)</f>
        <v>15.75</v>
      </c>
      <c r="V46">
        <f>ROUND((108/100)*ROUND(Source!CS26*Source!I26, 2), 2)</f>
        <v>9.7200000000000006</v>
      </c>
    </row>
    <row r="47" spans="1:22" ht="14.4" x14ac:dyDescent="0.3">
      <c r="A47" s="20"/>
      <c r="B47" s="20"/>
      <c r="C47" s="20" t="s">
        <v>185</v>
      </c>
      <c r="D47" s="21"/>
      <c r="E47" s="9"/>
      <c r="F47" s="23">
        <f>Source!AO26</f>
        <v>1311</v>
      </c>
      <c r="G47" s="22" t="str">
        <f>Source!DG26</f>
        <v/>
      </c>
      <c r="H47" s="9">
        <f>Source!AV26</f>
        <v>1</v>
      </c>
      <c r="I47" s="9">
        <f>IF(Source!BA26&lt;&gt; 0, Source!BA26, 1)</f>
        <v>1</v>
      </c>
      <c r="J47" s="23">
        <f>Source!S26</f>
        <v>65550</v>
      </c>
      <c r="K47" s="23"/>
    </row>
    <row r="48" spans="1:22" ht="14.4" x14ac:dyDescent="0.3">
      <c r="A48" s="20"/>
      <c r="B48" s="20"/>
      <c r="C48" s="20" t="s">
        <v>186</v>
      </c>
      <c r="D48" s="21"/>
      <c r="E48" s="9"/>
      <c r="F48" s="23">
        <f>Source!AM26</f>
        <v>69.86</v>
      </c>
      <c r="G48" s="22" t="str">
        <f>Source!DE26</f>
        <v/>
      </c>
      <c r="H48" s="9">
        <f>Source!AV26</f>
        <v>1</v>
      </c>
      <c r="I48" s="9">
        <f>IF(Source!BB26&lt;&gt; 0, Source!BB26, 1)</f>
        <v>1</v>
      </c>
      <c r="J48" s="23">
        <f>Source!Q26</f>
        <v>3493</v>
      </c>
      <c r="K48" s="23"/>
    </row>
    <row r="49" spans="1:22" ht="14.4" x14ac:dyDescent="0.3">
      <c r="A49" s="20"/>
      <c r="B49" s="20"/>
      <c r="C49" s="20" t="s">
        <v>187</v>
      </c>
      <c r="D49" s="21"/>
      <c r="E49" s="9"/>
      <c r="F49" s="23">
        <f>Source!AN26</f>
        <v>0.18</v>
      </c>
      <c r="G49" s="22" t="str">
        <f>Source!DF26</f>
        <v/>
      </c>
      <c r="H49" s="9">
        <f>Source!AV26</f>
        <v>1</v>
      </c>
      <c r="I49" s="9">
        <f>IF(Source!BS26&lt;&gt; 0, Source!BS26, 1)</f>
        <v>1</v>
      </c>
      <c r="J49" s="24">
        <f>Source!R26</f>
        <v>9</v>
      </c>
      <c r="K49" s="23"/>
    </row>
    <row r="50" spans="1:22" ht="14.4" x14ac:dyDescent="0.3">
      <c r="A50" s="20"/>
      <c r="B50" s="20"/>
      <c r="C50" s="20" t="s">
        <v>188</v>
      </c>
      <c r="D50" s="21" t="s">
        <v>189</v>
      </c>
      <c r="E50" s="9">
        <f>Source!AT26</f>
        <v>70</v>
      </c>
      <c r="F50" s="23"/>
      <c r="G50" s="22"/>
      <c r="H50" s="9"/>
      <c r="I50" s="9"/>
      <c r="J50" s="23">
        <f>SUM(R46:R49)</f>
        <v>45885</v>
      </c>
      <c r="K50" s="23"/>
    </row>
    <row r="51" spans="1:22" ht="14.4" x14ac:dyDescent="0.3">
      <c r="A51" s="20"/>
      <c r="B51" s="20"/>
      <c r="C51" s="20" t="s">
        <v>190</v>
      </c>
      <c r="D51" s="21" t="s">
        <v>189</v>
      </c>
      <c r="E51" s="9">
        <f>Source!AU26</f>
        <v>10</v>
      </c>
      <c r="F51" s="23"/>
      <c r="G51" s="22"/>
      <c r="H51" s="9"/>
      <c r="I51" s="9"/>
      <c r="J51" s="23">
        <f>SUM(T46:T50)</f>
        <v>6555</v>
      </c>
      <c r="K51" s="23"/>
    </row>
    <row r="52" spans="1:22" ht="14.4" x14ac:dyDescent="0.3">
      <c r="A52" s="20"/>
      <c r="B52" s="20"/>
      <c r="C52" s="20" t="s">
        <v>191</v>
      </c>
      <c r="D52" s="21" t="s">
        <v>189</v>
      </c>
      <c r="E52" s="9">
        <f>108</f>
        <v>108</v>
      </c>
      <c r="F52" s="23"/>
      <c r="G52" s="22"/>
      <c r="H52" s="9"/>
      <c r="I52" s="9"/>
      <c r="J52" s="23">
        <f>SUM(V46:V51)</f>
        <v>9.7200000000000006</v>
      </c>
      <c r="K52" s="23"/>
    </row>
    <row r="53" spans="1:22" ht="14.4" x14ac:dyDescent="0.3">
      <c r="A53" s="20"/>
      <c r="B53" s="20"/>
      <c r="C53" s="20" t="s">
        <v>192</v>
      </c>
      <c r="D53" s="21" t="s">
        <v>193</v>
      </c>
      <c r="E53" s="9">
        <f>Source!AQ26</f>
        <v>2.64</v>
      </c>
      <c r="F53" s="23"/>
      <c r="G53" s="22" t="str">
        <f>Source!DI26</f>
        <v/>
      </c>
      <c r="H53" s="9">
        <f>Source!AV26</f>
        <v>1</v>
      </c>
      <c r="I53" s="9"/>
      <c r="J53" s="23"/>
      <c r="K53" s="23">
        <f>Source!U26</f>
        <v>132</v>
      </c>
    </row>
    <row r="54" spans="1:22" ht="13.8" x14ac:dyDescent="0.25">
      <c r="A54" s="27"/>
      <c r="B54" s="27"/>
      <c r="C54" s="27"/>
      <c r="D54" s="27"/>
      <c r="E54" s="27"/>
      <c r="F54" s="27"/>
      <c r="G54" s="27"/>
      <c r="H54" s="27"/>
      <c r="I54" s="74">
        <f>J47+J48+J50+J51+J52</f>
        <v>121492.72</v>
      </c>
      <c r="J54" s="74"/>
      <c r="K54" s="28">
        <f>IF(Source!I26&lt;&gt;0, ROUND(I54/Source!I26, 2), 0)</f>
        <v>2429.85</v>
      </c>
      <c r="P54" s="25">
        <f>I54</f>
        <v>121492.72</v>
      </c>
    </row>
    <row r="55" spans="1:22" ht="55.2" x14ac:dyDescent="0.3">
      <c r="A55" s="20">
        <v>4</v>
      </c>
      <c r="B55" s="20" t="str">
        <f>Source!F27</f>
        <v>5.4-3104-15-4/1</v>
      </c>
      <c r="C55" s="20" t="str">
        <f>Source!G27</f>
        <v>Разделка упавших деревьев вручную с переноской порубочных остатков - диаметром до 400 мм, добавлять на каждые 10 м переноски сверх 25 м</v>
      </c>
      <c r="D55" s="21" t="str">
        <f>Source!H27</f>
        <v>шт.</v>
      </c>
      <c r="E55" s="9">
        <f>Source!I27</f>
        <v>50</v>
      </c>
      <c r="F55" s="23"/>
      <c r="G55" s="22"/>
      <c r="H55" s="9"/>
      <c r="I55" s="9"/>
      <c r="J55" s="23"/>
      <c r="K55" s="23"/>
      <c r="Q55">
        <f>ROUND((Source!BZ27/100)*ROUND((Source!AF27*Source!AV27)*Source!I27, 2), 2)</f>
        <v>17677.099999999999</v>
      </c>
      <c r="R55">
        <f>Source!X27</f>
        <v>17677.099999999999</v>
      </c>
      <c r="S55">
        <f>ROUND((Source!CA27/100)*ROUND((Source!AF27*Source!AV27)*Source!I27, 2), 2)</f>
        <v>2525.3000000000002</v>
      </c>
      <c r="T55">
        <f>Source!Y27</f>
        <v>2525.3000000000002</v>
      </c>
      <c r="U55">
        <f>ROUND((175/100)*ROUND((Source!AE27*Source!AV27)*Source!I27, 2), 2)</f>
        <v>0</v>
      </c>
      <c r="V55">
        <f>ROUND((108/100)*ROUND(Source!CS27*Source!I27, 2), 2)</f>
        <v>0</v>
      </c>
    </row>
    <row r="56" spans="1:22" ht="14.4" x14ac:dyDescent="0.3">
      <c r="A56" s="20"/>
      <c r="B56" s="20"/>
      <c r="C56" s="20" t="s">
        <v>185</v>
      </c>
      <c r="D56" s="21"/>
      <c r="E56" s="9"/>
      <c r="F56" s="23">
        <f>Source!AO27</f>
        <v>252.53</v>
      </c>
      <c r="G56" s="22" t="str">
        <f>Source!DG27</f>
        <v>)*2</v>
      </c>
      <c r="H56" s="9">
        <f>Source!AV27</f>
        <v>1</v>
      </c>
      <c r="I56" s="9">
        <f>IF(Source!BA27&lt;&gt; 0, Source!BA27, 1)</f>
        <v>1</v>
      </c>
      <c r="J56" s="23">
        <f>Source!S27</f>
        <v>25253</v>
      </c>
      <c r="K56" s="23"/>
    </row>
    <row r="57" spans="1:22" ht="14.4" x14ac:dyDescent="0.3">
      <c r="A57" s="20"/>
      <c r="B57" s="20"/>
      <c r="C57" s="20" t="s">
        <v>188</v>
      </c>
      <c r="D57" s="21" t="s">
        <v>189</v>
      </c>
      <c r="E57" s="9">
        <f>Source!AT27</f>
        <v>70</v>
      </c>
      <c r="F57" s="23"/>
      <c r="G57" s="22"/>
      <c r="H57" s="9"/>
      <c r="I57" s="9"/>
      <c r="J57" s="23">
        <f>SUM(R55:R56)</f>
        <v>17677.099999999999</v>
      </c>
      <c r="K57" s="23"/>
    </row>
    <row r="58" spans="1:22" ht="14.4" x14ac:dyDescent="0.3">
      <c r="A58" s="20"/>
      <c r="B58" s="20"/>
      <c r="C58" s="20" t="s">
        <v>190</v>
      </c>
      <c r="D58" s="21" t="s">
        <v>189</v>
      </c>
      <c r="E58" s="9">
        <f>Source!AU27</f>
        <v>10</v>
      </c>
      <c r="F58" s="23"/>
      <c r="G58" s="22"/>
      <c r="H58" s="9"/>
      <c r="I58" s="9"/>
      <c r="J58" s="23">
        <f>SUM(T55:T57)</f>
        <v>2525.3000000000002</v>
      </c>
      <c r="K58" s="23"/>
    </row>
    <row r="59" spans="1:22" ht="14.4" x14ac:dyDescent="0.3">
      <c r="A59" s="20"/>
      <c r="B59" s="20"/>
      <c r="C59" s="20" t="s">
        <v>192</v>
      </c>
      <c r="D59" s="21" t="s">
        <v>193</v>
      </c>
      <c r="E59" s="9">
        <f>Source!AQ27</f>
        <v>0.57999999999999996</v>
      </c>
      <c r="F59" s="23"/>
      <c r="G59" s="22" t="str">
        <f>Source!DI27</f>
        <v>)*2</v>
      </c>
      <c r="H59" s="9">
        <f>Source!AV27</f>
        <v>1</v>
      </c>
      <c r="I59" s="9"/>
      <c r="J59" s="23"/>
      <c r="K59" s="23">
        <f>Source!U27</f>
        <v>57.999999999999993</v>
      </c>
    </row>
    <row r="60" spans="1:22" ht="13.8" x14ac:dyDescent="0.25">
      <c r="A60" s="27"/>
      <c r="B60" s="27"/>
      <c r="C60" s="27"/>
      <c r="D60" s="27"/>
      <c r="E60" s="27"/>
      <c r="F60" s="27"/>
      <c r="G60" s="27"/>
      <c r="H60" s="27"/>
      <c r="I60" s="74">
        <f>J56+J57+J58</f>
        <v>45455.4</v>
      </c>
      <c r="J60" s="74"/>
      <c r="K60" s="28">
        <f>IF(Source!I27&lt;&gt;0, ROUND(I60/Source!I27, 2), 0)</f>
        <v>909.11</v>
      </c>
      <c r="P60" s="25">
        <f>I60</f>
        <v>45455.4</v>
      </c>
    </row>
    <row r="61" spans="1:22" ht="55.2" x14ac:dyDescent="0.3">
      <c r="A61" s="20">
        <v>5</v>
      </c>
      <c r="B61" s="20" t="str">
        <f>Source!F28</f>
        <v>5.4-3101-7-2/1</v>
      </c>
      <c r="C61" s="20" t="str">
        <f>Source!G28</f>
        <v>Санитарная обрезка деревьев мягких пород с использованием автовышки - диаметром до 0,5 м при количестве срезанных ветвей более 15</v>
      </c>
      <c r="D61" s="21" t="str">
        <f>Source!H28</f>
        <v>шт.</v>
      </c>
      <c r="E61" s="9">
        <f>Source!I28</f>
        <v>283</v>
      </c>
      <c r="F61" s="23"/>
      <c r="G61" s="22"/>
      <c r="H61" s="9"/>
      <c r="I61" s="9"/>
      <c r="J61" s="23"/>
      <c r="K61" s="23"/>
      <c r="Q61">
        <f>ROUND((Source!BZ28/100)*ROUND((Source!AF28*Source!AV28)*Source!I28, 2), 2)</f>
        <v>260142.94</v>
      </c>
      <c r="R61">
        <f>Source!X28</f>
        <v>260142.94</v>
      </c>
      <c r="S61">
        <f>ROUND((Source!CA28/100)*ROUND((Source!AF28*Source!AV28)*Source!I28, 2), 2)</f>
        <v>37163.279999999999</v>
      </c>
      <c r="T61">
        <f>Source!Y28</f>
        <v>37163.279999999999</v>
      </c>
      <c r="U61">
        <f>ROUND((175/100)*ROUND((Source!AE28*Source!AV28)*Source!I28, 2), 2)</f>
        <v>345010.96</v>
      </c>
      <c r="V61">
        <f>ROUND((108/100)*ROUND(Source!CS28*Source!I28, 2), 2)</f>
        <v>212921.05</v>
      </c>
    </row>
    <row r="62" spans="1:22" ht="14.4" x14ac:dyDescent="0.3">
      <c r="A62" s="20"/>
      <c r="B62" s="20"/>
      <c r="C62" s="20" t="s">
        <v>185</v>
      </c>
      <c r="D62" s="21"/>
      <c r="E62" s="9"/>
      <c r="F62" s="23">
        <f>Source!AO28</f>
        <v>1313.19</v>
      </c>
      <c r="G62" s="22" t="str">
        <f>Source!DG28</f>
        <v/>
      </c>
      <c r="H62" s="9">
        <f>Source!AV28</f>
        <v>1</v>
      </c>
      <c r="I62" s="9">
        <f>IF(Source!BA28&lt;&gt; 0, Source!BA28, 1)</f>
        <v>1</v>
      </c>
      <c r="J62" s="23">
        <f>Source!S28</f>
        <v>371632.77</v>
      </c>
      <c r="K62" s="23"/>
    </row>
    <row r="63" spans="1:22" ht="14.4" x14ac:dyDescent="0.3">
      <c r="A63" s="20"/>
      <c r="B63" s="20"/>
      <c r="C63" s="20" t="s">
        <v>186</v>
      </c>
      <c r="D63" s="21"/>
      <c r="E63" s="9"/>
      <c r="F63" s="23">
        <f>Source!AM28</f>
        <v>1570.61</v>
      </c>
      <c r="G63" s="22" t="str">
        <f>Source!DE28</f>
        <v/>
      </c>
      <c r="H63" s="9">
        <f>Source!AV28</f>
        <v>1</v>
      </c>
      <c r="I63" s="9">
        <f>IF(Source!BB28&lt;&gt; 0, Source!BB28, 1)</f>
        <v>1</v>
      </c>
      <c r="J63" s="23">
        <f>Source!Q28</f>
        <v>444482.63</v>
      </c>
      <c r="K63" s="23"/>
    </row>
    <row r="64" spans="1:22" ht="14.4" x14ac:dyDescent="0.3">
      <c r="A64" s="20"/>
      <c r="B64" s="20"/>
      <c r="C64" s="20" t="s">
        <v>187</v>
      </c>
      <c r="D64" s="21"/>
      <c r="E64" s="9"/>
      <c r="F64" s="23">
        <f>Source!AN28</f>
        <v>696.64</v>
      </c>
      <c r="G64" s="22" t="str">
        <f>Source!DF28</f>
        <v/>
      </c>
      <c r="H64" s="9">
        <f>Source!AV28</f>
        <v>1</v>
      </c>
      <c r="I64" s="9">
        <f>IF(Source!BS28&lt;&gt; 0, Source!BS28, 1)</f>
        <v>1</v>
      </c>
      <c r="J64" s="24">
        <f>Source!R28</f>
        <v>197149.12</v>
      </c>
      <c r="K64" s="23"/>
    </row>
    <row r="65" spans="1:22" ht="14.4" x14ac:dyDescent="0.3">
      <c r="A65" s="20"/>
      <c r="B65" s="20"/>
      <c r="C65" s="20" t="s">
        <v>194</v>
      </c>
      <c r="D65" s="21"/>
      <c r="E65" s="9"/>
      <c r="F65" s="23">
        <f>Source!AL28</f>
        <v>13.18</v>
      </c>
      <c r="G65" s="22" t="str">
        <f>Source!DD28</f>
        <v/>
      </c>
      <c r="H65" s="9">
        <f>Source!AW28</f>
        <v>1</v>
      </c>
      <c r="I65" s="9">
        <f>IF(Source!BC28&lt;&gt; 0, Source!BC28, 1)</f>
        <v>1</v>
      </c>
      <c r="J65" s="23">
        <f>Source!P28</f>
        <v>3729.94</v>
      </c>
      <c r="K65" s="23"/>
    </row>
    <row r="66" spans="1:22" ht="14.4" x14ac:dyDescent="0.3">
      <c r="A66" s="20"/>
      <c r="B66" s="20"/>
      <c r="C66" s="20" t="s">
        <v>188</v>
      </c>
      <c r="D66" s="21" t="s">
        <v>189</v>
      </c>
      <c r="E66" s="9">
        <f>Source!AT28</f>
        <v>70</v>
      </c>
      <c r="F66" s="23"/>
      <c r="G66" s="22"/>
      <c r="H66" s="9"/>
      <c r="I66" s="9"/>
      <c r="J66" s="23">
        <f>SUM(R61:R65)</f>
        <v>260142.94</v>
      </c>
      <c r="K66" s="23"/>
    </row>
    <row r="67" spans="1:22" ht="14.4" x14ac:dyDescent="0.3">
      <c r="A67" s="20"/>
      <c r="B67" s="20"/>
      <c r="C67" s="20" t="s">
        <v>190</v>
      </c>
      <c r="D67" s="21" t="s">
        <v>189</v>
      </c>
      <c r="E67" s="9">
        <f>Source!AU28</f>
        <v>10</v>
      </c>
      <c r="F67" s="23"/>
      <c r="G67" s="22"/>
      <c r="H67" s="9"/>
      <c r="I67" s="9"/>
      <c r="J67" s="23">
        <f>SUM(T61:T66)</f>
        <v>37163.279999999999</v>
      </c>
      <c r="K67" s="23"/>
    </row>
    <row r="68" spans="1:22" ht="14.4" x14ac:dyDescent="0.3">
      <c r="A68" s="20"/>
      <c r="B68" s="20"/>
      <c r="C68" s="20" t="s">
        <v>191</v>
      </c>
      <c r="D68" s="21" t="s">
        <v>189</v>
      </c>
      <c r="E68" s="9">
        <f>108</f>
        <v>108</v>
      </c>
      <c r="F68" s="23"/>
      <c r="G68" s="22"/>
      <c r="H68" s="9"/>
      <c r="I68" s="9"/>
      <c r="J68" s="23">
        <f>SUM(V61:V67)</f>
        <v>212921.05</v>
      </c>
      <c r="K68" s="23"/>
    </row>
    <row r="69" spans="1:22" ht="14.4" x14ac:dyDescent="0.3">
      <c r="A69" s="20"/>
      <c r="B69" s="20"/>
      <c r="C69" s="20" t="s">
        <v>192</v>
      </c>
      <c r="D69" s="21" t="s">
        <v>193</v>
      </c>
      <c r="E69" s="9">
        <f>Source!AQ28</f>
        <v>2.72</v>
      </c>
      <c r="F69" s="23"/>
      <c r="G69" s="22" t="str">
        <f>Source!DI28</f>
        <v/>
      </c>
      <c r="H69" s="9">
        <f>Source!AV28</f>
        <v>1</v>
      </c>
      <c r="I69" s="9"/>
      <c r="J69" s="23"/>
      <c r="K69" s="23">
        <f>Source!U28</f>
        <v>769.7600000000001</v>
      </c>
    </row>
    <row r="70" spans="1:22" ht="13.8" x14ac:dyDescent="0.25">
      <c r="A70" s="27"/>
      <c r="B70" s="27"/>
      <c r="C70" s="27"/>
      <c r="D70" s="27"/>
      <c r="E70" s="27"/>
      <c r="F70" s="27"/>
      <c r="G70" s="27"/>
      <c r="H70" s="27"/>
      <c r="I70" s="74">
        <f>J62+J63+J65+J66+J67+J68</f>
        <v>1330072.6100000001</v>
      </c>
      <c r="J70" s="74"/>
      <c r="K70" s="28">
        <f>IF(Source!I28&lt;&gt;0, ROUND(I70/Source!I28, 2), 0)</f>
        <v>4699.8999999999996</v>
      </c>
      <c r="P70" s="25">
        <f>I70</f>
        <v>1330072.6100000001</v>
      </c>
    </row>
    <row r="71" spans="1:22" ht="27.6" x14ac:dyDescent="0.3">
      <c r="A71" s="20">
        <v>6</v>
      </c>
      <c r="B71" s="20" t="str">
        <f>Source!F29</f>
        <v>5.4-3104-18-2/1</v>
      </c>
      <c r="C71" s="20" t="str">
        <f>Source!G29</f>
        <v>Измельчение ветвей, сучьев дробилкой - дерево диаметром до 200 мм</v>
      </c>
      <c r="D71" s="21" t="str">
        <f>Source!H29</f>
        <v>шт.</v>
      </c>
      <c r="E71" s="9">
        <f>Source!I29</f>
        <v>169</v>
      </c>
      <c r="F71" s="23"/>
      <c r="G71" s="22"/>
      <c r="H71" s="9"/>
      <c r="I71" s="9"/>
      <c r="J71" s="23"/>
      <c r="K71" s="23"/>
      <c r="Q71">
        <f>ROUND((Source!BZ29/100)*ROUND((Source!AF29*Source!AV29)*Source!I29, 2), 2)</f>
        <v>3427.15</v>
      </c>
      <c r="R71">
        <f>Source!X29</f>
        <v>3427.15</v>
      </c>
      <c r="S71">
        <f>ROUND((Source!CA29/100)*ROUND((Source!AF29*Source!AV29)*Source!I29, 2), 2)</f>
        <v>489.59</v>
      </c>
      <c r="T71">
        <f>Source!Y29</f>
        <v>489.59</v>
      </c>
      <c r="U71">
        <f>ROUND((175/100)*ROUND((Source!AE29*Source!AV29)*Source!I29, 2), 2)</f>
        <v>13557.18</v>
      </c>
      <c r="V71">
        <f>ROUND((108/100)*ROUND(Source!CS29*Source!I29, 2), 2)</f>
        <v>8366.7199999999993</v>
      </c>
    </row>
    <row r="72" spans="1:22" ht="14.4" x14ac:dyDescent="0.3">
      <c r="A72" s="20"/>
      <c r="B72" s="20"/>
      <c r="C72" s="20" t="s">
        <v>185</v>
      </c>
      <c r="D72" s="21"/>
      <c r="E72" s="9"/>
      <c r="F72" s="23">
        <f>Source!AO29</f>
        <v>28.97</v>
      </c>
      <c r="G72" s="22" t="str">
        <f>Source!DG29</f>
        <v/>
      </c>
      <c r="H72" s="9">
        <f>Source!AV29</f>
        <v>1</v>
      </c>
      <c r="I72" s="9">
        <f>IF(Source!BA29&lt;&gt; 0, Source!BA29, 1)</f>
        <v>1</v>
      </c>
      <c r="J72" s="23">
        <f>Source!S29</f>
        <v>4895.93</v>
      </c>
      <c r="K72" s="23"/>
    </row>
    <row r="73" spans="1:22" ht="14.4" x14ac:dyDescent="0.3">
      <c r="A73" s="20"/>
      <c r="B73" s="20"/>
      <c r="C73" s="20" t="s">
        <v>186</v>
      </c>
      <c r="D73" s="21"/>
      <c r="E73" s="9"/>
      <c r="F73" s="23">
        <f>Source!AM29</f>
        <v>116.04</v>
      </c>
      <c r="G73" s="22" t="str">
        <f>Source!DE29</f>
        <v/>
      </c>
      <c r="H73" s="9">
        <f>Source!AV29</f>
        <v>1</v>
      </c>
      <c r="I73" s="9">
        <f>IF(Source!BB29&lt;&gt; 0, Source!BB29, 1)</f>
        <v>1</v>
      </c>
      <c r="J73" s="23">
        <f>Source!Q29</f>
        <v>19610.759999999998</v>
      </c>
      <c r="K73" s="23"/>
    </row>
    <row r="74" spans="1:22" ht="14.4" x14ac:dyDescent="0.3">
      <c r="A74" s="20"/>
      <c r="B74" s="20"/>
      <c r="C74" s="20" t="s">
        <v>187</v>
      </c>
      <c r="D74" s="21"/>
      <c r="E74" s="9"/>
      <c r="F74" s="23">
        <f>Source!AN29</f>
        <v>45.84</v>
      </c>
      <c r="G74" s="22" t="str">
        <f>Source!DF29</f>
        <v/>
      </c>
      <c r="H74" s="9">
        <f>Source!AV29</f>
        <v>1</v>
      </c>
      <c r="I74" s="9">
        <f>IF(Source!BS29&lt;&gt; 0, Source!BS29, 1)</f>
        <v>1</v>
      </c>
      <c r="J74" s="24">
        <f>Source!R29</f>
        <v>7746.96</v>
      </c>
      <c r="K74" s="23"/>
    </row>
    <row r="75" spans="1:22" ht="14.4" x14ac:dyDescent="0.3">
      <c r="A75" s="20"/>
      <c r="B75" s="20"/>
      <c r="C75" s="20" t="s">
        <v>188</v>
      </c>
      <c r="D75" s="21" t="s">
        <v>189</v>
      </c>
      <c r="E75" s="9">
        <f>Source!AT29</f>
        <v>70</v>
      </c>
      <c r="F75" s="23"/>
      <c r="G75" s="22"/>
      <c r="H75" s="9"/>
      <c r="I75" s="9"/>
      <c r="J75" s="23">
        <f>SUM(R71:R74)</f>
        <v>3427.15</v>
      </c>
      <c r="K75" s="23"/>
    </row>
    <row r="76" spans="1:22" ht="14.4" x14ac:dyDescent="0.3">
      <c r="A76" s="20"/>
      <c r="B76" s="20"/>
      <c r="C76" s="20" t="s">
        <v>190</v>
      </c>
      <c r="D76" s="21" t="s">
        <v>189</v>
      </c>
      <c r="E76" s="9">
        <f>Source!AU29</f>
        <v>10</v>
      </c>
      <c r="F76" s="23"/>
      <c r="G76" s="22"/>
      <c r="H76" s="9"/>
      <c r="I76" s="9"/>
      <c r="J76" s="23">
        <f>SUM(T71:T75)</f>
        <v>489.59</v>
      </c>
      <c r="K76" s="23"/>
    </row>
    <row r="77" spans="1:22" ht="14.4" x14ac:dyDescent="0.3">
      <c r="A77" s="20"/>
      <c r="B77" s="20"/>
      <c r="C77" s="20" t="s">
        <v>191</v>
      </c>
      <c r="D77" s="21" t="s">
        <v>189</v>
      </c>
      <c r="E77" s="9">
        <f>108</f>
        <v>108</v>
      </c>
      <c r="F77" s="23"/>
      <c r="G77" s="22"/>
      <c r="H77" s="9"/>
      <c r="I77" s="9"/>
      <c r="J77" s="23">
        <f>SUM(V71:V76)</f>
        <v>8366.7199999999993</v>
      </c>
      <c r="K77" s="23"/>
    </row>
    <row r="78" spans="1:22" ht="14.4" x14ac:dyDescent="0.3">
      <c r="A78" s="20"/>
      <c r="B78" s="20"/>
      <c r="C78" s="20" t="s">
        <v>192</v>
      </c>
      <c r="D78" s="21" t="s">
        <v>193</v>
      </c>
      <c r="E78" s="9">
        <f>Source!AQ29</f>
        <v>0.06</v>
      </c>
      <c r="F78" s="23"/>
      <c r="G78" s="22" t="str">
        <f>Source!DI29</f>
        <v/>
      </c>
      <c r="H78" s="9">
        <f>Source!AV29</f>
        <v>1</v>
      </c>
      <c r="I78" s="9"/>
      <c r="J78" s="23"/>
      <c r="K78" s="23">
        <f>Source!U29</f>
        <v>10.139999999999999</v>
      </c>
    </row>
    <row r="79" spans="1:22" ht="13.8" x14ac:dyDescent="0.25">
      <c r="A79" s="27"/>
      <c r="B79" s="27"/>
      <c r="C79" s="27"/>
      <c r="D79" s="27"/>
      <c r="E79" s="27"/>
      <c r="F79" s="27"/>
      <c r="G79" s="27"/>
      <c r="H79" s="27"/>
      <c r="I79" s="74">
        <f>J72+J73+J75+J76+J77</f>
        <v>36790.15</v>
      </c>
      <c r="J79" s="74"/>
      <c r="K79" s="28">
        <f>IF(Source!I29&lt;&gt;0, ROUND(I79/Source!I29, 2), 0)</f>
        <v>217.69</v>
      </c>
      <c r="P79" s="25">
        <f>I79</f>
        <v>36790.15</v>
      </c>
    </row>
    <row r="80" spans="1:22" ht="27.6" x14ac:dyDescent="0.3">
      <c r="A80" s="20">
        <v>7</v>
      </c>
      <c r="B80" s="20" t="str">
        <f>Source!F30</f>
        <v>5.4-3104-18-3/1</v>
      </c>
      <c r="C80" s="20" t="str">
        <f>Source!G30</f>
        <v>Измельчение ветвей, сучьев дробилкой - дерево диаметром до 300 мм</v>
      </c>
      <c r="D80" s="21" t="str">
        <f>Source!H30</f>
        <v>шт.</v>
      </c>
      <c r="E80" s="9">
        <f>Source!I30</f>
        <v>85</v>
      </c>
      <c r="F80" s="23"/>
      <c r="G80" s="22"/>
      <c r="H80" s="9"/>
      <c r="I80" s="9"/>
      <c r="J80" s="23"/>
      <c r="K80" s="23"/>
      <c r="Q80">
        <f>ROUND((Source!BZ30/100)*ROUND((Source!AF30*Source!AV30)*Source!I30, 2), 2)</f>
        <v>9171.33</v>
      </c>
      <c r="R80">
        <f>Source!X30</f>
        <v>9171.33</v>
      </c>
      <c r="S80">
        <f>ROUND((Source!CA30/100)*ROUND((Source!AF30*Source!AV30)*Source!I30, 2), 2)</f>
        <v>1310.19</v>
      </c>
      <c r="T80">
        <f>Source!Y30</f>
        <v>1310.19</v>
      </c>
      <c r="U80">
        <f>ROUND((175/100)*ROUND((Source!AE30*Source!AV30)*Source!I30, 2), 2)</f>
        <v>20456.099999999999</v>
      </c>
      <c r="V80">
        <f>ROUND((108/100)*ROUND(Source!CS30*Source!I30, 2), 2)</f>
        <v>12624.34</v>
      </c>
    </row>
    <row r="81" spans="1:22" ht="14.4" x14ac:dyDescent="0.3">
      <c r="A81" s="20"/>
      <c r="B81" s="20"/>
      <c r="C81" s="20" t="s">
        <v>185</v>
      </c>
      <c r="D81" s="21"/>
      <c r="E81" s="9"/>
      <c r="F81" s="23">
        <f>Source!AO30</f>
        <v>154.13999999999999</v>
      </c>
      <c r="G81" s="22" t="str">
        <f>Source!DG30</f>
        <v/>
      </c>
      <c r="H81" s="9">
        <f>Source!AV30</f>
        <v>1</v>
      </c>
      <c r="I81" s="9">
        <f>IF(Source!BA30&lt;&gt; 0, Source!BA30, 1)</f>
        <v>1</v>
      </c>
      <c r="J81" s="23">
        <f>Source!S30</f>
        <v>13101.9</v>
      </c>
      <c r="K81" s="23"/>
    </row>
    <row r="82" spans="1:22" ht="14.4" x14ac:dyDescent="0.3">
      <c r="A82" s="20"/>
      <c r="B82" s="20"/>
      <c r="C82" s="20" t="s">
        <v>186</v>
      </c>
      <c r="D82" s="21"/>
      <c r="E82" s="9"/>
      <c r="F82" s="23">
        <f>Source!AM30</f>
        <v>348.11</v>
      </c>
      <c r="G82" s="22" t="str">
        <f>Source!DE30</f>
        <v/>
      </c>
      <c r="H82" s="9">
        <f>Source!AV30</f>
        <v>1</v>
      </c>
      <c r="I82" s="9">
        <f>IF(Source!BB30&lt;&gt; 0, Source!BB30, 1)</f>
        <v>1</v>
      </c>
      <c r="J82" s="23">
        <f>Source!Q30</f>
        <v>29589.35</v>
      </c>
      <c r="K82" s="23"/>
    </row>
    <row r="83" spans="1:22" ht="14.4" x14ac:dyDescent="0.3">
      <c r="A83" s="20"/>
      <c r="B83" s="20"/>
      <c r="C83" s="20" t="s">
        <v>187</v>
      </c>
      <c r="D83" s="21"/>
      <c r="E83" s="9"/>
      <c r="F83" s="23">
        <f>Source!AN30</f>
        <v>137.52000000000001</v>
      </c>
      <c r="G83" s="22" t="str">
        <f>Source!DF30</f>
        <v/>
      </c>
      <c r="H83" s="9">
        <f>Source!AV30</f>
        <v>1</v>
      </c>
      <c r="I83" s="9">
        <f>IF(Source!BS30&lt;&gt; 0, Source!BS30, 1)</f>
        <v>1</v>
      </c>
      <c r="J83" s="24">
        <f>Source!R30</f>
        <v>11689.2</v>
      </c>
      <c r="K83" s="23"/>
    </row>
    <row r="84" spans="1:22" ht="14.4" x14ac:dyDescent="0.3">
      <c r="A84" s="20"/>
      <c r="B84" s="20"/>
      <c r="C84" s="20" t="s">
        <v>188</v>
      </c>
      <c r="D84" s="21" t="s">
        <v>189</v>
      </c>
      <c r="E84" s="9">
        <f>Source!AT30</f>
        <v>70</v>
      </c>
      <c r="F84" s="23"/>
      <c r="G84" s="22"/>
      <c r="H84" s="9"/>
      <c r="I84" s="9"/>
      <c r="J84" s="23">
        <f>SUM(R80:R83)</f>
        <v>9171.33</v>
      </c>
      <c r="K84" s="23"/>
    </row>
    <row r="85" spans="1:22" ht="14.4" x14ac:dyDescent="0.3">
      <c r="A85" s="20"/>
      <c r="B85" s="20"/>
      <c r="C85" s="20" t="s">
        <v>190</v>
      </c>
      <c r="D85" s="21" t="s">
        <v>189</v>
      </c>
      <c r="E85" s="9">
        <f>Source!AU30</f>
        <v>10</v>
      </c>
      <c r="F85" s="23"/>
      <c r="G85" s="22"/>
      <c r="H85" s="9"/>
      <c r="I85" s="9"/>
      <c r="J85" s="23">
        <f>SUM(T80:T84)</f>
        <v>1310.19</v>
      </c>
      <c r="K85" s="23"/>
    </row>
    <row r="86" spans="1:22" ht="14.4" x14ac:dyDescent="0.3">
      <c r="A86" s="20"/>
      <c r="B86" s="20"/>
      <c r="C86" s="20" t="s">
        <v>191</v>
      </c>
      <c r="D86" s="21" t="s">
        <v>189</v>
      </c>
      <c r="E86" s="9">
        <f>108</f>
        <v>108</v>
      </c>
      <c r="F86" s="23"/>
      <c r="G86" s="22"/>
      <c r="H86" s="9"/>
      <c r="I86" s="9"/>
      <c r="J86" s="23">
        <f>SUM(V80:V85)</f>
        <v>12624.34</v>
      </c>
      <c r="K86" s="23"/>
    </row>
    <row r="87" spans="1:22" ht="14.4" x14ac:dyDescent="0.3">
      <c r="A87" s="20"/>
      <c r="B87" s="20"/>
      <c r="C87" s="20" t="s">
        <v>192</v>
      </c>
      <c r="D87" s="21" t="s">
        <v>193</v>
      </c>
      <c r="E87" s="9">
        <f>Source!AQ30</f>
        <v>0.33</v>
      </c>
      <c r="F87" s="23"/>
      <c r="G87" s="22" t="str">
        <f>Source!DI30</f>
        <v/>
      </c>
      <c r="H87" s="9">
        <f>Source!AV30</f>
        <v>1</v>
      </c>
      <c r="I87" s="9"/>
      <c r="J87" s="23"/>
      <c r="K87" s="23">
        <f>Source!U30</f>
        <v>28.05</v>
      </c>
    </row>
    <row r="88" spans="1:22" ht="13.8" x14ac:dyDescent="0.25">
      <c r="A88" s="27"/>
      <c r="B88" s="27"/>
      <c r="C88" s="27"/>
      <c r="D88" s="27"/>
      <c r="E88" s="27"/>
      <c r="F88" s="27"/>
      <c r="G88" s="27"/>
      <c r="H88" s="27"/>
      <c r="I88" s="74">
        <f>J81+J82+J84+J85+J86</f>
        <v>65797.11</v>
      </c>
      <c r="J88" s="74"/>
      <c r="K88" s="28">
        <f>IF(Source!I30&lt;&gt;0, ROUND(I88/Source!I30, 2), 0)</f>
        <v>774.08</v>
      </c>
      <c r="P88" s="25">
        <f>I88</f>
        <v>65797.11</v>
      </c>
    </row>
    <row r="89" spans="1:22" ht="27.6" x14ac:dyDescent="0.3">
      <c r="A89" s="20">
        <v>8</v>
      </c>
      <c r="B89" s="20" t="str">
        <f>Source!F31</f>
        <v>5.4-3104-18-4/1</v>
      </c>
      <c r="C89" s="20" t="str">
        <f>Source!G31</f>
        <v>Измельчение ветвей, сучьев дробилкой - дерево диаметром до 400 мм</v>
      </c>
      <c r="D89" s="21" t="str">
        <f>Source!H31</f>
        <v>шт.</v>
      </c>
      <c r="E89" s="9">
        <f>Source!I31</f>
        <v>29</v>
      </c>
      <c r="F89" s="23"/>
      <c r="G89" s="22"/>
      <c r="H89" s="9"/>
      <c r="I89" s="9"/>
      <c r="J89" s="23"/>
      <c r="K89" s="23"/>
      <c r="Q89">
        <f>ROUND((Source!BZ31/100)*ROUND((Source!AF31*Source!AV31)*Source!I31, 2), 2)</f>
        <v>3982.25</v>
      </c>
      <c r="R89">
        <f>Source!X31</f>
        <v>3982.25</v>
      </c>
      <c r="S89">
        <f>ROUND((Source!CA31/100)*ROUND((Source!AF31*Source!AV31)*Source!I31, 2), 2)</f>
        <v>568.89</v>
      </c>
      <c r="T89">
        <f>Source!Y31</f>
        <v>568.89</v>
      </c>
      <c r="U89">
        <f>ROUND((175/100)*ROUND((Source!AE31*Source!AV31)*Source!I31, 2), 2)</f>
        <v>9305.52</v>
      </c>
      <c r="V89">
        <f>ROUND((108/100)*ROUND(Source!CS31*Source!I31, 2), 2)</f>
        <v>5742.84</v>
      </c>
    </row>
    <row r="90" spans="1:22" ht="14.4" x14ac:dyDescent="0.3">
      <c r="A90" s="20"/>
      <c r="B90" s="20"/>
      <c r="C90" s="20" t="s">
        <v>185</v>
      </c>
      <c r="D90" s="21"/>
      <c r="E90" s="9"/>
      <c r="F90" s="23">
        <f>Source!AO31</f>
        <v>196.17</v>
      </c>
      <c r="G90" s="22" t="str">
        <f>Source!DG31</f>
        <v/>
      </c>
      <c r="H90" s="9">
        <f>Source!AV31</f>
        <v>1</v>
      </c>
      <c r="I90" s="9">
        <f>IF(Source!BA31&lt;&gt; 0, Source!BA31, 1)</f>
        <v>1</v>
      </c>
      <c r="J90" s="23">
        <f>Source!S31</f>
        <v>5688.93</v>
      </c>
      <c r="K90" s="23"/>
    </row>
    <row r="91" spans="1:22" ht="14.4" x14ac:dyDescent="0.3">
      <c r="A91" s="20"/>
      <c r="B91" s="20"/>
      <c r="C91" s="20" t="s">
        <v>186</v>
      </c>
      <c r="D91" s="21"/>
      <c r="E91" s="9"/>
      <c r="F91" s="23">
        <f>Source!AM31</f>
        <v>464.14</v>
      </c>
      <c r="G91" s="22" t="str">
        <f>Source!DE31</f>
        <v/>
      </c>
      <c r="H91" s="9">
        <f>Source!AV31</f>
        <v>1</v>
      </c>
      <c r="I91" s="9">
        <f>IF(Source!BB31&lt;&gt; 0, Source!BB31, 1)</f>
        <v>1</v>
      </c>
      <c r="J91" s="23">
        <f>Source!Q31</f>
        <v>13460.06</v>
      </c>
      <c r="K91" s="23"/>
    </row>
    <row r="92" spans="1:22" ht="14.4" x14ac:dyDescent="0.3">
      <c r="A92" s="20"/>
      <c r="B92" s="20"/>
      <c r="C92" s="20" t="s">
        <v>187</v>
      </c>
      <c r="D92" s="21"/>
      <c r="E92" s="9"/>
      <c r="F92" s="23">
        <f>Source!AN31</f>
        <v>183.36</v>
      </c>
      <c r="G92" s="22" t="str">
        <f>Source!DF31</f>
        <v/>
      </c>
      <c r="H92" s="9">
        <f>Source!AV31</f>
        <v>1</v>
      </c>
      <c r="I92" s="9">
        <f>IF(Source!BS31&lt;&gt; 0, Source!BS31, 1)</f>
        <v>1</v>
      </c>
      <c r="J92" s="24">
        <f>Source!R31</f>
        <v>5317.44</v>
      </c>
      <c r="K92" s="23"/>
    </row>
    <row r="93" spans="1:22" ht="14.4" x14ac:dyDescent="0.3">
      <c r="A93" s="20"/>
      <c r="B93" s="20"/>
      <c r="C93" s="20" t="s">
        <v>188</v>
      </c>
      <c r="D93" s="21" t="s">
        <v>189</v>
      </c>
      <c r="E93" s="9">
        <f>Source!AT31</f>
        <v>70</v>
      </c>
      <c r="F93" s="23"/>
      <c r="G93" s="22"/>
      <c r="H93" s="9"/>
      <c r="I93" s="9"/>
      <c r="J93" s="23">
        <f>SUM(R89:R92)</f>
        <v>3982.25</v>
      </c>
      <c r="K93" s="23"/>
    </row>
    <row r="94" spans="1:22" ht="14.4" x14ac:dyDescent="0.3">
      <c r="A94" s="20"/>
      <c r="B94" s="20"/>
      <c r="C94" s="20" t="s">
        <v>190</v>
      </c>
      <c r="D94" s="21" t="s">
        <v>189</v>
      </c>
      <c r="E94" s="9">
        <f>Source!AU31</f>
        <v>10</v>
      </c>
      <c r="F94" s="23"/>
      <c r="G94" s="22"/>
      <c r="H94" s="9"/>
      <c r="I94" s="9"/>
      <c r="J94" s="23">
        <f>SUM(T89:T93)-0.01</f>
        <v>568.88</v>
      </c>
      <c r="K94" s="23"/>
    </row>
    <row r="95" spans="1:22" ht="14.4" x14ac:dyDescent="0.3">
      <c r="A95" s="20"/>
      <c r="B95" s="20"/>
      <c r="C95" s="20" t="s">
        <v>191</v>
      </c>
      <c r="D95" s="21" t="s">
        <v>189</v>
      </c>
      <c r="E95" s="9">
        <f>108</f>
        <v>108</v>
      </c>
      <c r="F95" s="23"/>
      <c r="G95" s="22"/>
      <c r="H95" s="9"/>
      <c r="I95" s="9"/>
      <c r="J95" s="23">
        <f>SUM(V89:V94)</f>
        <v>5742.84</v>
      </c>
      <c r="K95" s="23"/>
    </row>
    <row r="96" spans="1:22" ht="14.4" x14ac:dyDescent="0.3">
      <c r="A96" s="20"/>
      <c r="B96" s="20"/>
      <c r="C96" s="20" t="s">
        <v>192</v>
      </c>
      <c r="D96" s="21" t="s">
        <v>193</v>
      </c>
      <c r="E96" s="9">
        <f>Source!AQ31</f>
        <v>0.42</v>
      </c>
      <c r="F96" s="23"/>
      <c r="G96" s="22" t="str">
        <f>Source!DI31</f>
        <v/>
      </c>
      <c r="H96" s="9">
        <f>Source!AV31</f>
        <v>1</v>
      </c>
      <c r="I96" s="9"/>
      <c r="J96" s="23"/>
      <c r="K96" s="23">
        <f>Source!U31</f>
        <v>12.18</v>
      </c>
    </row>
    <row r="97" spans="1:22" ht="13.8" x14ac:dyDescent="0.25">
      <c r="A97" s="27"/>
      <c r="B97" s="27"/>
      <c r="C97" s="27"/>
      <c r="D97" s="27"/>
      <c r="E97" s="27"/>
      <c r="F97" s="27"/>
      <c r="G97" s="27"/>
      <c r="H97" s="27"/>
      <c r="I97" s="74">
        <f>J90+J91+J93+J94+J95</f>
        <v>29442.959999999999</v>
      </c>
      <c r="J97" s="74"/>
      <c r="K97" s="28">
        <f>IF(Source!I31&lt;&gt;0, ROUND(I97/Source!I31, 2), 0)</f>
        <v>1015.27</v>
      </c>
      <c r="P97" s="25">
        <f>I97</f>
        <v>29442.959999999999</v>
      </c>
    </row>
    <row r="98" spans="1:22" ht="27.6" x14ac:dyDescent="0.3">
      <c r="A98" s="20">
        <v>9</v>
      </c>
      <c r="B98" s="20" t="str">
        <f>Source!F32</f>
        <v>5.4-3105-2-1/1</v>
      </c>
      <c r="C98" s="20" t="str">
        <f>Source!G32</f>
        <v>Погрузка вручную на автотранспорт порубочных остатков - обрезанные ветви</v>
      </c>
      <c r="D98" s="21" t="str">
        <f>Source!H32</f>
        <v>скл. м3</v>
      </c>
      <c r="E98" s="9">
        <f>Source!I32</f>
        <v>61.024700000000003</v>
      </c>
      <c r="F98" s="23"/>
      <c r="G98" s="22"/>
      <c r="H98" s="9"/>
      <c r="I98" s="9"/>
      <c r="J98" s="23"/>
      <c r="K98" s="23"/>
      <c r="Q98">
        <f>ROUND((Source!BZ32/100)*ROUND((Source!AF32*Source!AV32)*Source!I32, 2), 2)</f>
        <v>8369.6</v>
      </c>
      <c r="R98">
        <f>Source!X32</f>
        <v>8369.6</v>
      </c>
      <c r="S98">
        <f>ROUND((Source!CA32/100)*ROUND((Source!AF32*Source!AV32)*Source!I32, 2), 2)</f>
        <v>1195.6600000000001</v>
      </c>
      <c r="T98">
        <f>Source!Y32</f>
        <v>1195.6600000000001</v>
      </c>
      <c r="U98">
        <f>ROUND((175/100)*ROUND((Source!AE32*Source!AV32)*Source!I32, 2), 2)</f>
        <v>0</v>
      </c>
      <c r="V98">
        <f>ROUND((108/100)*ROUND(Source!CS32*Source!I32, 2), 2)</f>
        <v>0</v>
      </c>
    </row>
    <row r="99" spans="1:22" ht="14.4" x14ac:dyDescent="0.3">
      <c r="A99" s="20"/>
      <c r="B99" s="20"/>
      <c r="C99" s="20" t="s">
        <v>185</v>
      </c>
      <c r="D99" s="21"/>
      <c r="E99" s="9"/>
      <c r="F99" s="23">
        <f>Source!AO32</f>
        <v>195.93</v>
      </c>
      <c r="G99" s="22" t="str">
        <f>Source!DG32</f>
        <v/>
      </c>
      <c r="H99" s="9">
        <f>Source!AV32</f>
        <v>1</v>
      </c>
      <c r="I99" s="9">
        <f>IF(Source!BA32&lt;&gt; 0, Source!BA32, 1)</f>
        <v>1</v>
      </c>
      <c r="J99" s="23">
        <f>Source!S32</f>
        <v>11956.57</v>
      </c>
      <c r="K99" s="23"/>
    </row>
    <row r="100" spans="1:22" ht="14.4" x14ac:dyDescent="0.3">
      <c r="A100" s="20"/>
      <c r="B100" s="20"/>
      <c r="C100" s="20" t="s">
        <v>188</v>
      </c>
      <c r="D100" s="21" t="s">
        <v>189</v>
      </c>
      <c r="E100" s="9">
        <f>Source!AT32</f>
        <v>70</v>
      </c>
      <c r="F100" s="23"/>
      <c r="G100" s="22"/>
      <c r="H100" s="9"/>
      <c r="I100" s="9"/>
      <c r="J100" s="23">
        <f>SUM(R98:R99)</f>
        <v>8369.6</v>
      </c>
      <c r="K100" s="23"/>
    </row>
    <row r="101" spans="1:22" ht="14.4" x14ac:dyDescent="0.3">
      <c r="A101" s="20"/>
      <c r="B101" s="20"/>
      <c r="C101" s="20" t="s">
        <v>190</v>
      </c>
      <c r="D101" s="21" t="s">
        <v>189</v>
      </c>
      <c r="E101" s="9">
        <f>Source!AU32</f>
        <v>10</v>
      </c>
      <c r="F101" s="23"/>
      <c r="G101" s="22"/>
      <c r="H101" s="9"/>
      <c r="I101" s="9"/>
      <c r="J101" s="23">
        <f>SUM(T98:T100)</f>
        <v>1195.6600000000001</v>
      </c>
      <c r="K101" s="23"/>
    </row>
    <row r="102" spans="1:22" ht="14.4" x14ac:dyDescent="0.3">
      <c r="A102" s="20"/>
      <c r="B102" s="20"/>
      <c r="C102" s="20" t="s">
        <v>192</v>
      </c>
      <c r="D102" s="21" t="s">
        <v>193</v>
      </c>
      <c r="E102" s="9">
        <f>Source!AQ32</f>
        <v>0.45</v>
      </c>
      <c r="F102" s="23"/>
      <c r="G102" s="22" t="str">
        <f>Source!DI32</f>
        <v/>
      </c>
      <c r="H102" s="9">
        <f>Source!AV32</f>
        <v>1</v>
      </c>
      <c r="I102" s="9"/>
      <c r="J102" s="23"/>
      <c r="K102" s="23">
        <f>Source!U32</f>
        <v>27.461115000000003</v>
      </c>
    </row>
    <row r="103" spans="1:22" ht="13.8" x14ac:dyDescent="0.25">
      <c r="A103" s="27"/>
      <c r="B103" s="27"/>
      <c r="C103" s="27"/>
      <c r="D103" s="27"/>
      <c r="E103" s="27"/>
      <c r="F103" s="27"/>
      <c r="G103" s="27"/>
      <c r="H103" s="27"/>
      <c r="I103" s="74">
        <f>J99+J100+J101</f>
        <v>21521.829999999998</v>
      </c>
      <c r="J103" s="74"/>
      <c r="K103" s="28">
        <f>IF(Source!I32&lt;&gt;0, ROUND(I103/Source!I32, 2), 0)</f>
        <v>352.67</v>
      </c>
      <c r="P103" s="25">
        <f>I103</f>
        <v>21521.829999999998</v>
      </c>
    </row>
    <row r="104" spans="1:22" ht="41.4" x14ac:dyDescent="0.3">
      <c r="A104" s="20">
        <v>10</v>
      </c>
      <c r="B104" s="20" t="str">
        <f>Source!F33</f>
        <v>5.4-3105-2-2/1</v>
      </c>
      <c r="C104" s="20" t="str">
        <f>Source!G33</f>
        <v>Погрузка вручную на автотранспорт порубочных остатков - после валки деревьев</v>
      </c>
      <c r="D104" s="21" t="str">
        <f>Source!H33</f>
        <v>скл. м3</v>
      </c>
      <c r="E104" s="9">
        <f>Source!I33</f>
        <v>120.8</v>
      </c>
      <c r="F104" s="23"/>
      <c r="G104" s="22"/>
      <c r="H104" s="9"/>
      <c r="I104" s="9"/>
      <c r="J104" s="23"/>
      <c r="K104" s="23"/>
      <c r="Q104">
        <f>ROUND((Source!BZ33/100)*ROUND((Source!AF33*Source!AV33)*Source!I33, 2), 2)</f>
        <v>21721.77</v>
      </c>
      <c r="R104">
        <f>Source!X33</f>
        <v>21721.77</v>
      </c>
      <c r="S104">
        <f>ROUND((Source!CA33/100)*ROUND((Source!AF33*Source!AV33)*Source!I33, 2), 2)</f>
        <v>3103.11</v>
      </c>
      <c r="T104">
        <f>Source!Y33</f>
        <v>3103.11</v>
      </c>
      <c r="U104">
        <f>ROUND((175/100)*ROUND((Source!AE33*Source!AV33)*Source!I33, 2), 2)</f>
        <v>0</v>
      </c>
      <c r="V104">
        <f>ROUND((108/100)*ROUND(Source!CS33*Source!I33, 2), 2)</f>
        <v>0</v>
      </c>
    </row>
    <row r="105" spans="1:22" ht="14.4" x14ac:dyDescent="0.3">
      <c r="A105" s="20"/>
      <c r="B105" s="20"/>
      <c r="C105" s="20" t="s">
        <v>185</v>
      </c>
      <c r="D105" s="21"/>
      <c r="E105" s="9"/>
      <c r="F105" s="23">
        <f>Source!AO33</f>
        <v>256.88</v>
      </c>
      <c r="G105" s="22" t="str">
        <f>Source!DG33</f>
        <v/>
      </c>
      <c r="H105" s="9">
        <f>Source!AV33</f>
        <v>1</v>
      </c>
      <c r="I105" s="9">
        <f>IF(Source!BA33&lt;&gt; 0, Source!BA33, 1)</f>
        <v>1</v>
      </c>
      <c r="J105" s="23">
        <f>Source!S33</f>
        <v>31031.1</v>
      </c>
      <c r="K105" s="23"/>
    </row>
    <row r="106" spans="1:22" ht="14.4" x14ac:dyDescent="0.3">
      <c r="A106" s="20"/>
      <c r="B106" s="20"/>
      <c r="C106" s="20" t="s">
        <v>188</v>
      </c>
      <c r="D106" s="21" t="s">
        <v>189</v>
      </c>
      <c r="E106" s="9">
        <f>Source!AT33</f>
        <v>70</v>
      </c>
      <c r="F106" s="23"/>
      <c r="G106" s="22"/>
      <c r="H106" s="9"/>
      <c r="I106" s="9"/>
      <c r="J106" s="23">
        <f>SUM(R104:R105)</f>
        <v>21721.77</v>
      </c>
      <c r="K106" s="23"/>
    </row>
    <row r="107" spans="1:22" ht="14.4" x14ac:dyDescent="0.3">
      <c r="A107" s="20"/>
      <c r="B107" s="20"/>
      <c r="C107" s="20" t="s">
        <v>190</v>
      </c>
      <c r="D107" s="21" t="s">
        <v>189</v>
      </c>
      <c r="E107" s="9">
        <f>Source!AU33</f>
        <v>10</v>
      </c>
      <c r="F107" s="23"/>
      <c r="G107" s="22"/>
      <c r="H107" s="9"/>
      <c r="I107" s="9"/>
      <c r="J107" s="23">
        <f>SUM(T104:T106)</f>
        <v>3103.11</v>
      </c>
      <c r="K107" s="23"/>
    </row>
    <row r="108" spans="1:22" ht="14.4" x14ac:dyDescent="0.3">
      <c r="A108" s="20"/>
      <c r="B108" s="20"/>
      <c r="C108" s="20" t="s">
        <v>192</v>
      </c>
      <c r="D108" s="21" t="s">
        <v>193</v>
      </c>
      <c r="E108" s="9">
        <f>Source!AQ33</f>
        <v>0.59</v>
      </c>
      <c r="F108" s="23"/>
      <c r="G108" s="22" t="str">
        <f>Source!DI33</f>
        <v/>
      </c>
      <c r="H108" s="9">
        <f>Source!AV33</f>
        <v>1</v>
      </c>
      <c r="I108" s="9"/>
      <c r="J108" s="23"/>
      <c r="K108" s="23">
        <f>Source!U33</f>
        <v>71.271999999999991</v>
      </c>
    </row>
    <row r="109" spans="1:22" ht="13.8" x14ac:dyDescent="0.25">
      <c r="A109" s="27"/>
      <c r="B109" s="27"/>
      <c r="C109" s="27"/>
      <c r="D109" s="27"/>
      <c r="E109" s="27"/>
      <c r="F109" s="27"/>
      <c r="G109" s="27"/>
      <c r="H109" s="27"/>
      <c r="I109" s="74">
        <f>J105+J106+J107</f>
        <v>55855.979999999996</v>
      </c>
      <c r="J109" s="74"/>
      <c r="K109" s="28">
        <f>IF(Source!I33&lt;&gt;0, ROUND(I109/Source!I33, 2), 0)</f>
        <v>462.38</v>
      </c>
      <c r="P109" s="25">
        <f>I109</f>
        <v>55855.979999999996</v>
      </c>
    </row>
    <row r="110" spans="1:22" ht="82.8" x14ac:dyDescent="0.3">
      <c r="A110" s="20">
        <v>11</v>
      </c>
      <c r="B110" s="20" t="str">
        <f>Source!F34</f>
        <v>5.4-3105-4-3/1</v>
      </c>
      <c r="C110" s="20" t="str">
        <f>Source!G34</f>
        <v>Перевозка порубочных остатков после вырубки кустарников и обрезанных ветвей автосамосвалами грузоподъемностью до 15 т на расстояние 1 км - при механизированной погрузке</v>
      </c>
      <c r="D110" s="21" t="str">
        <f>Source!H34</f>
        <v>т</v>
      </c>
      <c r="E110" s="9">
        <f>Source!I34</f>
        <v>77.5</v>
      </c>
      <c r="F110" s="23"/>
      <c r="G110" s="22"/>
      <c r="H110" s="9"/>
      <c r="I110" s="9"/>
      <c r="J110" s="23"/>
      <c r="K110" s="23"/>
      <c r="Q110">
        <f>ROUND((Source!BZ34/100)*ROUND((Source!AF34*Source!AV34)*Source!I34, 2), 2)</f>
        <v>0</v>
      </c>
      <c r="R110">
        <f>Source!X34</f>
        <v>0</v>
      </c>
      <c r="S110">
        <f>ROUND((Source!CA34/100)*ROUND((Source!AF34*Source!AV34)*Source!I34, 2), 2)</f>
        <v>0</v>
      </c>
      <c r="T110">
        <f>Source!Y34</f>
        <v>0</v>
      </c>
      <c r="U110">
        <f>ROUND((175/100)*ROUND((Source!AE34*Source!AV34)*Source!I34, 2), 2)</f>
        <v>10234.26</v>
      </c>
      <c r="V110">
        <f>ROUND((108/100)*ROUND(Source!CS34*Source!I34, 2), 2)</f>
        <v>6316</v>
      </c>
    </row>
    <row r="111" spans="1:22" ht="14.4" x14ac:dyDescent="0.3">
      <c r="A111" s="20"/>
      <c r="B111" s="20"/>
      <c r="C111" s="20" t="s">
        <v>186</v>
      </c>
      <c r="D111" s="21"/>
      <c r="E111" s="9"/>
      <c r="F111" s="23">
        <f>Source!AM34</f>
        <v>242.89</v>
      </c>
      <c r="G111" s="22" t="str">
        <f>Source!DE34</f>
        <v/>
      </c>
      <c r="H111" s="9">
        <f>Source!AV34</f>
        <v>1</v>
      </c>
      <c r="I111" s="9">
        <f>IF(Source!BB34&lt;&gt; 0, Source!BB34, 1)</f>
        <v>1</v>
      </c>
      <c r="J111" s="23">
        <f>Source!Q34</f>
        <v>18823.98</v>
      </c>
      <c r="K111" s="23"/>
    </row>
    <row r="112" spans="1:22" ht="14.4" x14ac:dyDescent="0.3">
      <c r="A112" s="20"/>
      <c r="B112" s="20"/>
      <c r="C112" s="20" t="s">
        <v>187</v>
      </c>
      <c r="D112" s="21"/>
      <c r="E112" s="9"/>
      <c r="F112" s="23">
        <f>Source!AN34</f>
        <v>75.459999999999994</v>
      </c>
      <c r="G112" s="22" t="str">
        <f>Source!DF34</f>
        <v/>
      </c>
      <c r="H112" s="9">
        <f>Source!AV34</f>
        <v>1</v>
      </c>
      <c r="I112" s="9">
        <f>IF(Source!BS34&lt;&gt; 0, Source!BS34, 1)</f>
        <v>1</v>
      </c>
      <c r="J112" s="24">
        <f>Source!R34</f>
        <v>5848.15</v>
      </c>
      <c r="K112" s="23"/>
    </row>
    <row r="113" spans="1:22" ht="13.8" x14ac:dyDescent="0.25">
      <c r="A113" s="27"/>
      <c r="B113" s="27"/>
      <c r="C113" s="27"/>
      <c r="D113" s="27"/>
      <c r="E113" s="27"/>
      <c r="F113" s="27"/>
      <c r="G113" s="27"/>
      <c r="H113" s="27"/>
      <c r="I113" s="74">
        <f>J111</f>
        <v>18823.98</v>
      </c>
      <c r="J113" s="74"/>
      <c r="K113" s="28">
        <f>IF(Source!I34&lt;&gt;0, ROUND(I113/Source!I34, 2), 0)</f>
        <v>242.89</v>
      </c>
      <c r="P113" s="25">
        <f>I113</f>
        <v>18823.98</v>
      </c>
    </row>
    <row r="114" spans="1:22" ht="55.2" x14ac:dyDescent="0.3">
      <c r="A114" s="20">
        <v>12</v>
      </c>
      <c r="B114" s="20" t="str">
        <f>Source!F35</f>
        <v>5.4-3105-4-2/1</v>
      </c>
      <c r="C114" s="20" t="str">
        <f>Source!G35</f>
        <v>Перевозка порубочных остатков автосамосвалами грузоподъемностью до 15 т - добавляется на каждый последующий 1 км до 100 км</v>
      </c>
      <c r="D114" s="21" t="str">
        <f>Source!H35</f>
        <v>т</v>
      </c>
      <c r="E114" s="9">
        <f>Source!I35</f>
        <v>77.5</v>
      </c>
      <c r="F114" s="23"/>
      <c r="G114" s="22"/>
      <c r="H114" s="9"/>
      <c r="I114" s="9"/>
      <c r="J114" s="23"/>
      <c r="K114" s="23"/>
      <c r="Q114">
        <f>ROUND((Source!BZ35/100)*ROUND((Source!AF35*Source!AV35)*Source!I35, 2), 2)</f>
        <v>0</v>
      </c>
      <c r="R114">
        <f>Source!X35</f>
        <v>0</v>
      </c>
      <c r="S114">
        <f>ROUND((Source!CA35/100)*ROUND((Source!AF35*Source!AV35)*Source!I35, 2), 2)</f>
        <v>0</v>
      </c>
      <c r="T114">
        <f>Source!Y35</f>
        <v>0</v>
      </c>
      <c r="U114">
        <f>ROUND((175/100)*ROUND((Source!AE35*Source!AV35)*Source!I35, 2), 2)</f>
        <v>178894.8</v>
      </c>
      <c r="V114">
        <f>ROUND((108/100)*ROUND(Source!CS35*Source!I35, 2), 2)</f>
        <v>110403.65</v>
      </c>
    </row>
    <row r="115" spans="1:22" ht="14.4" x14ac:dyDescent="0.3">
      <c r="A115" s="20"/>
      <c r="B115" s="20"/>
      <c r="C115" s="20" t="s">
        <v>186</v>
      </c>
      <c r="D115" s="21"/>
      <c r="E115" s="9"/>
      <c r="F115" s="23">
        <f>Source!AM35</f>
        <v>39.9</v>
      </c>
      <c r="G115" s="22" t="str">
        <f>Source!DE35</f>
        <v>)*64</v>
      </c>
      <c r="H115" s="9">
        <f>Source!AV35</f>
        <v>1</v>
      </c>
      <c r="I115" s="9">
        <f>IF(Source!BB35&lt;&gt; 0, Source!BB35, 1)</f>
        <v>1</v>
      </c>
      <c r="J115" s="23">
        <f>Source!Q35</f>
        <v>197904</v>
      </c>
      <c r="K115" s="23"/>
    </row>
    <row r="116" spans="1:22" ht="14.4" x14ac:dyDescent="0.3">
      <c r="A116" s="20"/>
      <c r="B116" s="20"/>
      <c r="C116" s="20" t="s">
        <v>187</v>
      </c>
      <c r="D116" s="21"/>
      <c r="E116" s="9"/>
      <c r="F116" s="23">
        <f>Source!AN35</f>
        <v>20.61</v>
      </c>
      <c r="G116" s="22" t="str">
        <f>Source!DF35</f>
        <v>)*64</v>
      </c>
      <c r="H116" s="9">
        <f>Source!AV35</f>
        <v>1</v>
      </c>
      <c r="I116" s="9">
        <f>IF(Source!BS35&lt;&gt; 0, Source!BS35, 1)</f>
        <v>1</v>
      </c>
      <c r="J116" s="24">
        <f>Source!R35</f>
        <v>102225.60000000001</v>
      </c>
      <c r="K116" s="23"/>
    </row>
    <row r="117" spans="1:22" ht="13.8" x14ac:dyDescent="0.25">
      <c r="A117" s="27"/>
      <c r="B117" s="27"/>
      <c r="C117" s="27"/>
      <c r="D117" s="27"/>
      <c r="E117" s="27"/>
      <c r="F117" s="27"/>
      <c r="G117" s="27"/>
      <c r="H117" s="27"/>
      <c r="I117" s="74">
        <f>J115</f>
        <v>197904</v>
      </c>
      <c r="J117" s="74"/>
      <c r="K117" s="28">
        <f>IF(Source!I35&lt;&gt;0, ROUND(I117/Source!I35, 2), 0)</f>
        <v>2553.6</v>
      </c>
      <c r="P117" s="25">
        <f>I117</f>
        <v>197904</v>
      </c>
    </row>
    <row r="119" spans="1:22" ht="13.8" x14ac:dyDescent="0.25">
      <c r="A119" s="70" t="s">
        <v>325</v>
      </c>
      <c r="B119" s="70"/>
      <c r="C119" s="70"/>
      <c r="D119" s="70"/>
      <c r="E119" s="70"/>
      <c r="F119" s="70"/>
      <c r="G119" s="70"/>
      <c r="H119" s="70"/>
      <c r="I119" s="68">
        <f>SUM(P31:P118)</f>
        <v>2122941.96</v>
      </c>
      <c r="J119" s="69"/>
      <c r="K119" s="29"/>
      <c r="L119" s="66"/>
    </row>
    <row r="122" spans="1:22" ht="13.8" x14ac:dyDescent="0.25">
      <c r="A122" s="70" t="s">
        <v>328</v>
      </c>
      <c r="B122" s="70"/>
      <c r="C122" s="70"/>
      <c r="D122" s="70"/>
      <c r="E122" s="70"/>
      <c r="F122" s="70"/>
      <c r="G122" s="70"/>
      <c r="H122" s="70"/>
      <c r="I122" s="68">
        <f>SUM(P1:P121)</f>
        <v>2122941.96</v>
      </c>
      <c r="J122" s="69"/>
      <c r="K122" s="29"/>
    </row>
    <row r="123" spans="1:22" ht="13.8" x14ac:dyDescent="0.25">
      <c r="C123" s="71" t="str">
        <f>Source!H98</f>
        <v>НДС-20%</v>
      </c>
      <c r="D123" s="71"/>
      <c r="E123" s="71"/>
      <c r="F123" s="71"/>
      <c r="G123" s="71"/>
      <c r="H123" s="71"/>
      <c r="I123" s="72">
        <f>I122*0.2</f>
        <v>424588.39199999999</v>
      </c>
      <c r="J123" s="72"/>
    </row>
    <row r="124" spans="1:22" ht="13.8" x14ac:dyDescent="0.25">
      <c r="C124" s="71" t="str">
        <f>Source!H99</f>
        <v>Итого  с НДС</v>
      </c>
      <c r="D124" s="71"/>
      <c r="E124" s="71"/>
      <c r="F124" s="71"/>
      <c r="G124" s="71"/>
      <c r="H124" s="71"/>
      <c r="I124" s="72">
        <f>I122+I123</f>
        <v>2547530.352</v>
      </c>
      <c r="J124" s="72"/>
    </row>
    <row r="127" spans="1:22" ht="13.8" x14ac:dyDescent="0.25">
      <c r="A127" s="73" t="s">
        <v>195</v>
      </c>
      <c r="B127" s="73"/>
      <c r="C127" s="30" t="str">
        <f>IF(Source!AC12&lt;&gt;"", Source!AC12," ")</f>
        <v xml:space="preserve"> </v>
      </c>
      <c r="D127" s="30"/>
      <c r="E127" s="30"/>
      <c r="F127" s="30"/>
      <c r="G127" s="30"/>
      <c r="H127" s="10" t="str">
        <f>IF(Source!AB12&lt;&gt;"", Source!AB12," ")</f>
        <v xml:space="preserve"> </v>
      </c>
      <c r="I127" s="10"/>
      <c r="J127" s="10"/>
      <c r="K127" s="10"/>
    </row>
    <row r="128" spans="1:22" ht="13.8" x14ac:dyDescent="0.25">
      <c r="A128" s="10"/>
      <c r="B128" s="10"/>
      <c r="C128" s="67" t="s">
        <v>196</v>
      </c>
      <c r="D128" s="67"/>
      <c r="E128" s="67"/>
      <c r="F128" s="67"/>
      <c r="G128" s="67"/>
      <c r="H128" s="10"/>
      <c r="I128" s="10"/>
      <c r="J128" s="10"/>
      <c r="K128" s="10"/>
    </row>
    <row r="129" spans="1:11" ht="13.8" x14ac:dyDescent="0.25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</row>
    <row r="130" spans="1:11" ht="13.8" x14ac:dyDescent="0.25">
      <c r="A130" s="73" t="s">
        <v>197</v>
      </c>
      <c r="B130" s="73"/>
      <c r="C130" s="30" t="str">
        <f>IF(Source!AE12&lt;&gt;"", Source!AE12," ")</f>
        <v xml:space="preserve"> </v>
      </c>
      <c r="D130" s="30"/>
      <c r="E130" s="30"/>
      <c r="F130" s="30"/>
      <c r="G130" s="30"/>
      <c r="H130" s="10" t="str">
        <f>IF(Source!AD12&lt;&gt;"", Source!AD12," ")</f>
        <v xml:space="preserve"> </v>
      </c>
      <c r="I130" s="10"/>
      <c r="J130" s="10"/>
      <c r="K130" s="10"/>
    </row>
    <row r="131" spans="1:11" ht="13.8" x14ac:dyDescent="0.25">
      <c r="A131" s="10"/>
      <c r="B131" s="10"/>
      <c r="C131" s="67" t="s">
        <v>196</v>
      </c>
      <c r="D131" s="67"/>
      <c r="E131" s="67"/>
      <c r="F131" s="67"/>
      <c r="G131" s="67"/>
      <c r="H131" s="10"/>
      <c r="I131" s="10"/>
      <c r="J131" s="10"/>
      <c r="K131" s="10"/>
    </row>
  </sheetData>
  <mergeCells count="61">
    <mergeCell ref="G7:K7"/>
    <mergeCell ref="J2:K2"/>
    <mergeCell ref="A10:K10"/>
    <mergeCell ref="A11:K11"/>
    <mergeCell ref="A18:K18"/>
    <mergeCell ref="F20:H20"/>
    <mergeCell ref="I20:J20"/>
    <mergeCell ref="A15:K15"/>
    <mergeCell ref="A16:K16"/>
    <mergeCell ref="A13:K13"/>
    <mergeCell ref="B3:E3"/>
    <mergeCell ref="G3:K3"/>
    <mergeCell ref="B4:E4"/>
    <mergeCell ref="G4:K4"/>
    <mergeCell ref="B6:E6"/>
    <mergeCell ref="G6:K6"/>
    <mergeCell ref="B7:E7"/>
    <mergeCell ref="F22:H22"/>
    <mergeCell ref="I22:J22"/>
    <mergeCell ref="F21:H21"/>
    <mergeCell ref="I21:J21"/>
    <mergeCell ref="F23:H23"/>
    <mergeCell ref="I23:J23"/>
    <mergeCell ref="F24:H24"/>
    <mergeCell ref="I24:J24"/>
    <mergeCell ref="I60:J60"/>
    <mergeCell ref="F25:H25"/>
    <mergeCell ref="I25:J25"/>
    <mergeCell ref="F27:F29"/>
    <mergeCell ref="G27:G29"/>
    <mergeCell ref="H27:H29"/>
    <mergeCell ref="I27:I29"/>
    <mergeCell ref="J27:J29"/>
    <mergeCell ref="I39:J39"/>
    <mergeCell ref="I45:J45"/>
    <mergeCell ref="I54:J54"/>
    <mergeCell ref="A27:A29"/>
    <mergeCell ref="B27:B29"/>
    <mergeCell ref="C27:C29"/>
    <mergeCell ref="D27:D29"/>
    <mergeCell ref="E27:E29"/>
    <mergeCell ref="I113:J113"/>
    <mergeCell ref="I117:J117"/>
    <mergeCell ref="I119:J119"/>
    <mergeCell ref="A119:H119"/>
    <mergeCell ref="I70:J70"/>
    <mergeCell ref="I79:J79"/>
    <mergeCell ref="I88:J88"/>
    <mergeCell ref="I97:J97"/>
    <mergeCell ref="I103:J103"/>
    <mergeCell ref="I109:J109"/>
    <mergeCell ref="C131:G131"/>
    <mergeCell ref="I122:J122"/>
    <mergeCell ref="A122:H122"/>
    <mergeCell ref="C123:H123"/>
    <mergeCell ref="I123:J123"/>
    <mergeCell ref="C124:H124"/>
    <mergeCell ref="I124:J124"/>
    <mergeCell ref="A127:B127"/>
    <mergeCell ref="C128:G128"/>
    <mergeCell ref="A130:B130"/>
  </mergeCells>
  <pageMargins left="0.4" right="0.2" top="0.2" bottom="0.4" header="0.2" footer="0.2"/>
  <pageSetup paperSize="9" scale="64" fitToHeight="0" orientation="portrait" verticalDpi="0" r:id="rId1"/>
  <headerFooter>
    <oddHeader>&amp;L&amp;8</oddHead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O24"/>
  <sheetViews>
    <sheetView workbookViewId="0"/>
  </sheetViews>
  <sheetFormatPr defaultColWidth="9.109375" defaultRowHeight="13.2" x14ac:dyDescent="0.25"/>
  <cols>
    <col min="1" max="256" width="9.109375" customWidth="1"/>
  </cols>
  <sheetData>
    <row r="1" spans="1:119" x14ac:dyDescent="0.25">
      <c r="A1">
        <f>ROW(Source!A24)</f>
        <v>24</v>
      </c>
      <c r="B1">
        <v>48805144</v>
      </c>
      <c r="C1">
        <v>48822096</v>
      </c>
      <c r="D1">
        <v>48175442</v>
      </c>
      <c r="E1">
        <v>39</v>
      </c>
      <c r="F1">
        <v>1</v>
      </c>
      <c r="G1">
        <v>39</v>
      </c>
      <c r="H1">
        <v>1</v>
      </c>
      <c r="I1" t="s">
        <v>130</v>
      </c>
      <c r="J1" t="s">
        <v>3</v>
      </c>
      <c r="K1" t="s">
        <v>131</v>
      </c>
      <c r="L1">
        <v>1191</v>
      </c>
      <c r="N1">
        <v>1013</v>
      </c>
      <c r="O1" t="s">
        <v>132</v>
      </c>
      <c r="P1" t="s">
        <v>132</v>
      </c>
      <c r="Q1">
        <v>1</v>
      </c>
      <c r="W1">
        <v>0</v>
      </c>
      <c r="X1">
        <v>476480486</v>
      </c>
      <c r="Y1">
        <f>AT1</f>
        <v>1.81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1.81</v>
      </c>
      <c r="AU1" t="s">
        <v>3</v>
      </c>
      <c r="AV1">
        <v>1</v>
      </c>
      <c r="AW1">
        <v>2</v>
      </c>
      <c r="AX1">
        <v>48822097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ROUND(AT1*Source!I24*AH1*AL1,2)</f>
        <v>0</v>
      </c>
      <c r="CV1">
        <f>ROUND(Y1*Source!I24,9)</f>
        <v>153.85</v>
      </c>
      <c r="CW1">
        <v>0</v>
      </c>
      <c r="CX1">
        <f>ROUND(Y1*Source!I24,9)</f>
        <v>153.85</v>
      </c>
      <c r="CY1">
        <f>AD1</f>
        <v>0</v>
      </c>
      <c r="CZ1">
        <f>AH1</f>
        <v>0</v>
      </c>
      <c r="DA1">
        <f>AL1</f>
        <v>1</v>
      </c>
      <c r="DB1">
        <f>ROUND(ROUND(AT1*CZ1,2),6)</f>
        <v>0</v>
      </c>
      <c r="DC1">
        <f>ROUND(ROUND(AT1*AG1,2),6)</f>
        <v>0</v>
      </c>
      <c r="DD1" t="s">
        <v>3</v>
      </c>
      <c r="DE1" t="s">
        <v>3</v>
      </c>
      <c r="DF1">
        <f t="shared" ref="DF1:DF24" si="0">ROUND(ROUND(AE1,2)*CX1,2)</f>
        <v>0</v>
      </c>
      <c r="DG1">
        <f t="shared" ref="DG1:DG24" si="1">ROUND(ROUND(AF1,2)*CX1,2)</f>
        <v>0</v>
      </c>
      <c r="DH1">
        <f t="shared" ref="DH1:DH24" si="2">ROUND(ROUND(AG1,2)*CX1,2)</f>
        <v>0</v>
      </c>
      <c r="DI1">
        <f t="shared" ref="DI1:DI24" si="3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5">
      <c r="A2">
        <f>ROW(Source!A24)</f>
        <v>24</v>
      </c>
      <c r="B2">
        <v>48805144</v>
      </c>
      <c r="C2">
        <v>48822096</v>
      </c>
      <c r="D2">
        <v>48177227</v>
      </c>
      <c r="E2">
        <v>1</v>
      </c>
      <c r="F2">
        <v>1</v>
      </c>
      <c r="G2">
        <v>39</v>
      </c>
      <c r="H2">
        <v>2</v>
      </c>
      <c r="I2" t="s">
        <v>133</v>
      </c>
      <c r="J2" t="s">
        <v>134</v>
      </c>
      <c r="K2" t="s">
        <v>135</v>
      </c>
      <c r="L2">
        <v>1368</v>
      </c>
      <c r="N2">
        <v>1011</v>
      </c>
      <c r="O2" t="s">
        <v>136</v>
      </c>
      <c r="P2" t="s">
        <v>136</v>
      </c>
      <c r="Q2">
        <v>1</v>
      </c>
      <c r="W2">
        <v>0</v>
      </c>
      <c r="X2">
        <v>-442963090</v>
      </c>
      <c r="Y2">
        <f>AT2</f>
        <v>0.24</v>
      </c>
      <c r="AA2">
        <v>0</v>
      </c>
      <c r="AB2">
        <v>211.71</v>
      </c>
      <c r="AC2">
        <v>0.56000000000000005</v>
      </c>
      <c r="AD2">
        <v>0</v>
      </c>
      <c r="AE2">
        <v>0</v>
      </c>
      <c r="AF2">
        <v>211.71</v>
      </c>
      <c r="AG2">
        <v>0.56000000000000005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0.24</v>
      </c>
      <c r="AU2" t="s">
        <v>3</v>
      </c>
      <c r="AV2">
        <v>0</v>
      </c>
      <c r="AW2">
        <v>2</v>
      </c>
      <c r="AX2">
        <v>48822098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ROUND(Y2*Source!I24*DO2,9)</f>
        <v>0</v>
      </c>
      <c r="CX2">
        <f>ROUND(Y2*Source!I24,9)</f>
        <v>20.399999999999999</v>
      </c>
      <c r="CY2">
        <f>AB2</f>
        <v>211.71</v>
      </c>
      <c r="CZ2">
        <f>AF2</f>
        <v>211.71</v>
      </c>
      <c r="DA2">
        <f>AJ2</f>
        <v>1</v>
      </c>
      <c r="DB2">
        <f>ROUND(ROUND(AT2*CZ2,2),6)</f>
        <v>50.81</v>
      </c>
      <c r="DC2">
        <f>ROUND(ROUND(AT2*AG2,2),6)</f>
        <v>0.13</v>
      </c>
      <c r="DD2" t="s">
        <v>3</v>
      </c>
      <c r="DE2" t="s">
        <v>3</v>
      </c>
      <c r="DF2">
        <f t="shared" si="0"/>
        <v>0</v>
      </c>
      <c r="DG2">
        <f t="shared" si="1"/>
        <v>4318.88</v>
      </c>
      <c r="DH2">
        <f t="shared" si="2"/>
        <v>11.42</v>
      </c>
      <c r="DI2">
        <f t="shared" si="3"/>
        <v>0</v>
      </c>
      <c r="DJ2">
        <f>DG2</f>
        <v>4318.88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5">
      <c r="A3">
        <f>ROW(Source!A25)</f>
        <v>25</v>
      </c>
      <c r="B3">
        <v>48805144</v>
      </c>
      <c r="C3">
        <v>48822102</v>
      </c>
      <c r="D3">
        <v>48175442</v>
      </c>
      <c r="E3">
        <v>39</v>
      </c>
      <c r="F3">
        <v>1</v>
      </c>
      <c r="G3">
        <v>39</v>
      </c>
      <c r="H3">
        <v>1</v>
      </c>
      <c r="I3" t="s">
        <v>130</v>
      </c>
      <c r="J3" t="s">
        <v>3</v>
      </c>
      <c r="K3" t="s">
        <v>131</v>
      </c>
      <c r="L3">
        <v>1191</v>
      </c>
      <c r="N3">
        <v>1013</v>
      </c>
      <c r="O3" t="s">
        <v>132</v>
      </c>
      <c r="P3" t="s">
        <v>132</v>
      </c>
      <c r="Q3">
        <v>1</v>
      </c>
      <c r="W3">
        <v>0</v>
      </c>
      <c r="X3">
        <v>476480486</v>
      </c>
      <c r="Y3">
        <f>(AT3*2)</f>
        <v>0.92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0.46</v>
      </c>
      <c r="AU3" t="s">
        <v>25</v>
      </c>
      <c r="AV3">
        <v>1</v>
      </c>
      <c r="AW3">
        <v>2</v>
      </c>
      <c r="AX3">
        <v>48822104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U3">
        <f>ROUND(AT3*Source!I25*AH3*AL3,2)</f>
        <v>0</v>
      </c>
      <c r="CV3">
        <f>ROUND(Y3*Source!I25,9)</f>
        <v>78.2</v>
      </c>
      <c r="CW3">
        <v>0</v>
      </c>
      <c r="CX3">
        <f>ROUND(Y3*Source!I25,9)</f>
        <v>78.2</v>
      </c>
      <c r="CY3">
        <f>AD3</f>
        <v>0</v>
      </c>
      <c r="CZ3">
        <f>AH3</f>
        <v>0</v>
      </c>
      <c r="DA3">
        <f>AL3</f>
        <v>1</v>
      </c>
      <c r="DB3">
        <f>ROUND((ROUND(AT3*CZ3,2)*2),6)</f>
        <v>0</v>
      </c>
      <c r="DC3">
        <f>ROUND((ROUND(AT3*AG3,2)*2),6)</f>
        <v>0</v>
      </c>
      <c r="DD3" t="s">
        <v>3</v>
      </c>
      <c r="DE3" t="s">
        <v>3</v>
      </c>
      <c r="DF3">
        <f t="shared" si="0"/>
        <v>0</v>
      </c>
      <c r="DG3">
        <f t="shared" si="1"/>
        <v>0</v>
      </c>
      <c r="DH3">
        <f t="shared" si="2"/>
        <v>0</v>
      </c>
      <c r="DI3">
        <f t="shared" si="3"/>
        <v>0</v>
      </c>
      <c r="DJ3">
        <f>DI3</f>
        <v>0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5">
      <c r="A4">
        <f>ROW(Source!A26)</f>
        <v>26</v>
      </c>
      <c r="B4">
        <v>48805144</v>
      </c>
      <c r="C4">
        <v>48822099</v>
      </c>
      <c r="D4">
        <v>48175442</v>
      </c>
      <c r="E4">
        <v>39</v>
      </c>
      <c r="F4">
        <v>1</v>
      </c>
      <c r="G4">
        <v>39</v>
      </c>
      <c r="H4">
        <v>1</v>
      </c>
      <c r="I4" t="s">
        <v>130</v>
      </c>
      <c r="J4" t="s">
        <v>3</v>
      </c>
      <c r="K4" t="s">
        <v>131</v>
      </c>
      <c r="L4">
        <v>1191</v>
      </c>
      <c r="N4">
        <v>1013</v>
      </c>
      <c r="O4" t="s">
        <v>132</v>
      </c>
      <c r="P4" t="s">
        <v>132</v>
      </c>
      <c r="Q4">
        <v>1</v>
      </c>
      <c r="W4">
        <v>0</v>
      </c>
      <c r="X4">
        <v>476480486</v>
      </c>
      <c r="Y4">
        <f>AT4</f>
        <v>2.64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2.64</v>
      </c>
      <c r="AU4" t="s">
        <v>3</v>
      </c>
      <c r="AV4">
        <v>1</v>
      </c>
      <c r="AW4">
        <v>2</v>
      </c>
      <c r="AX4">
        <v>48822100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U4">
        <f>ROUND(AT4*Source!I26*AH4*AL4,2)</f>
        <v>0</v>
      </c>
      <c r="CV4">
        <f>ROUND(Y4*Source!I26,9)</f>
        <v>132</v>
      </c>
      <c r="CW4">
        <v>0</v>
      </c>
      <c r="CX4">
        <f>ROUND(Y4*Source!I26,9)</f>
        <v>132</v>
      </c>
      <c r="CY4">
        <f>AD4</f>
        <v>0</v>
      </c>
      <c r="CZ4">
        <f>AH4</f>
        <v>0</v>
      </c>
      <c r="DA4">
        <f>AL4</f>
        <v>1</v>
      </c>
      <c r="DB4">
        <f>ROUND(ROUND(AT4*CZ4,2),6)</f>
        <v>0</v>
      </c>
      <c r="DC4">
        <f>ROUND(ROUND(AT4*AG4,2),6)</f>
        <v>0</v>
      </c>
      <c r="DD4" t="s">
        <v>3</v>
      </c>
      <c r="DE4" t="s">
        <v>3</v>
      </c>
      <c r="DF4">
        <f t="shared" si="0"/>
        <v>0</v>
      </c>
      <c r="DG4">
        <f t="shared" si="1"/>
        <v>0</v>
      </c>
      <c r="DH4">
        <f t="shared" si="2"/>
        <v>0</v>
      </c>
      <c r="DI4">
        <f t="shared" si="3"/>
        <v>0</v>
      </c>
      <c r="DJ4">
        <f>DI4</f>
        <v>0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5">
      <c r="A5">
        <f>ROW(Source!A26)</f>
        <v>26</v>
      </c>
      <c r="B5">
        <v>48805144</v>
      </c>
      <c r="C5">
        <v>48822099</v>
      </c>
      <c r="D5">
        <v>48177227</v>
      </c>
      <c r="E5">
        <v>1</v>
      </c>
      <c r="F5">
        <v>1</v>
      </c>
      <c r="G5">
        <v>39</v>
      </c>
      <c r="H5">
        <v>2</v>
      </c>
      <c r="I5" t="s">
        <v>133</v>
      </c>
      <c r="J5" t="s">
        <v>134</v>
      </c>
      <c r="K5" t="s">
        <v>135</v>
      </c>
      <c r="L5">
        <v>1368</v>
      </c>
      <c r="N5">
        <v>1011</v>
      </c>
      <c r="O5" t="s">
        <v>136</v>
      </c>
      <c r="P5" t="s">
        <v>136</v>
      </c>
      <c r="Q5">
        <v>1</v>
      </c>
      <c r="W5">
        <v>0</v>
      </c>
      <c r="X5">
        <v>-442963090</v>
      </c>
      <c r="Y5">
        <f>AT5</f>
        <v>0.33</v>
      </c>
      <c r="AA5">
        <v>0</v>
      </c>
      <c r="AB5">
        <v>211.71</v>
      </c>
      <c r="AC5">
        <v>0.56000000000000005</v>
      </c>
      <c r="AD5">
        <v>0</v>
      </c>
      <c r="AE5">
        <v>0</v>
      </c>
      <c r="AF5">
        <v>211.71</v>
      </c>
      <c r="AG5">
        <v>0.56000000000000005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0.33</v>
      </c>
      <c r="AU5" t="s">
        <v>3</v>
      </c>
      <c r="AV5">
        <v>0</v>
      </c>
      <c r="AW5">
        <v>2</v>
      </c>
      <c r="AX5">
        <v>48822101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f>ROUND(Y5*Source!I26*DO5,9)</f>
        <v>0</v>
      </c>
      <c r="CX5">
        <f>ROUND(Y5*Source!I26,9)</f>
        <v>16.5</v>
      </c>
      <c r="CY5">
        <f>AB5</f>
        <v>211.71</v>
      </c>
      <c r="CZ5">
        <f>AF5</f>
        <v>211.71</v>
      </c>
      <c r="DA5">
        <f>AJ5</f>
        <v>1</v>
      </c>
      <c r="DB5">
        <f>ROUND(ROUND(AT5*CZ5,2),6)</f>
        <v>69.86</v>
      </c>
      <c r="DC5">
        <f>ROUND(ROUND(AT5*AG5,2),6)</f>
        <v>0.18</v>
      </c>
      <c r="DD5" t="s">
        <v>3</v>
      </c>
      <c r="DE5" t="s">
        <v>3</v>
      </c>
      <c r="DF5">
        <f t="shared" si="0"/>
        <v>0</v>
      </c>
      <c r="DG5">
        <f t="shared" si="1"/>
        <v>3493.22</v>
      </c>
      <c r="DH5">
        <f t="shared" si="2"/>
        <v>9.24</v>
      </c>
      <c r="DI5">
        <f t="shared" si="3"/>
        <v>0</v>
      </c>
      <c r="DJ5">
        <f>DG5</f>
        <v>3493.22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5">
      <c r="A6">
        <f>ROW(Source!A27)</f>
        <v>27</v>
      </c>
      <c r="B6">
        <v>48805144</v>
      </c>
      <c r="C6">
        <v>48822088</v>
      </c>
      <c r="D6">
        <v>48175442</v>
      </c>
      <c r="E6">
        <v>39</v>
      </c>
      <c r="F6">
        <v>1</v>
      </c>
      <c r="G6">
        <v>39</v>
      </c>
      <c r="H6">
        <v>1</v>
      </c>
      <c r="I6" t="s">
        <v>130</v>
      </c>
      <c r="J6" t="s">
        <v>3</v>
      </c>
      <c r="K6" t="s">
        <v>131</v>
      </c>
      <c r="L6">
        <v>1191</v>
      </c>
      <c r="N6">
        <v>1013</v>
      </c>
      <c r="O6" t="s">
        <v>132</v>
      </c>
      <c r="P6" t="s">
        <v>132</v>
      </c>
      <c r="Q6">
        <v>1</v>
      </c>
      <c r="W6">
        <v>0</v>
      </c>
      <c r="X6">
        <v>476480486</v>
      </c>
      <c r="Y6">
        <f>(AT6*2)</f>
        <v>1.1599999999999999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0.57999999999999996</v>
      </c>
      <c r="AU6" t="s">
        <v>25</v>
      </c>
      <c r="AV6">
        <v>1</v>
      </c>
      <c r="AW6">
        <v>2</v>
      </c>
      <c r="AX6">
        <v>48822089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U6">
        <f>ROUND(AT6*Source!I27*AH6*AL6,2)</f>
        <v>0</v>
      </c>
      <c r="CV6">
        <f>ROUND(Y6*Source!I27,9)</f>
        <v>58</v>
      </c>
      <c r="CW6">
        <v>0</v>
      </c>
      <c r="CX6">
        <f>ROUND(Y6*Source!I27,9)</f>
        <v>58</v>
      </c>
      <c r="CY6">
        <f>AD6</f>
        <v>0</v>
      </c>
      <c r="CZ6">
        <f>AH6</f>
        <v>0</v>
      </c>
      <c r="DA6">
        <f>AL6</f>
        <v>1</v>
      </c>
      <c r="DB6">
        <f>ROUND((ROUND(AT6*CZ6,2)*2),6)</f>
        <v>0</v>
      </c>
      <c r="DC6">
        <f>ROUND((ROUND(AT6*AG6,2)*2),6)</f>
        <v>0</v>
      </c>
      <c r="DD6" t="s">
        <v>3</v>
      </c>
      <c r="DE6" t="s">
        <v>3</v>
      </c>
      <c r="DF6">
        <f t="shared" si="0"/>
        <v>0</v>
      </c>
      <c r="DG6">
        <f t="shared" si="1"/>
        <v>0</v>
      </c>
      <c r="DH6">
        <f t="shared" si="2"/>
        <v>0</v>
      </c>
      <c r="DI6">
        <f t="shared" si="3"/>
        <v>0</v>
      </c>
      <c r="DJ6">
        <f>DI6</f>
        <v>0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5">
      <c r="A7">
        <f>ROW(Source!A28)</f>
        <v>28</v>
      </c>
      <c r="B7">
        <v>48805144</v>
      </c>
      <c r="C7">
        <v>48805368</v>
      </c>
      <c r="D7">
        <v>48175442</v>
      </c>
      <c r="E7">
        <v>39</v>
      </c>
      <c r="F7">
        <v>1</v>
      </c>
      <c r="G7">
        <v>39</v>
      </c>
      <c r="H7">
        <v>1</v>
      </c>
      <c r="I7" t="s">
        <v>130</v>
      </c>
      <c r="J7" t="s">
        <v>3</v>
      </c>
      <c r="K7" t="s">
        <v>131</v>
      </c>
      <c r="L7">
        <v>1191</v>
      </c>
      <c r="N7">
        <v>1013</v>
      </c>
      <c r="O7" t="s">
        <v>132</v>
      </c>
      <c r="P7" t="s">
        <v>132</v>
      </c>
      <c r="Q7">
        <v>1</v>
      </c>
      <c r="W7">
        <v>0</v>
      </c>
      <c r="X7">
        <v>476480486</v>
      </c>
      <c r="Y7">
        <f t="shared" ref="Y7:Y23" si="4">AT7</f>
        <v>2.72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0</v>
      </c>
      <c r="AQ7">
        <v>0</v>
      </c>
      <c r="AR7">
        <v>0</v>
      </c>
      <c r="AS7" t="s">
        <v>3</v>
      </c>
      <c r="AT7">
        <v>2.72</v>
      </c>
      <c r="AU7" t="s">
        <v>3</v>
      </c>
      <c r="AV7">
        <v>1</v>
      </c>
      <c r="AW7">
        <v>2</v>
      </c>
      <c r="AX7">
        <v>48805386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U7">
        <f>ROUND(AT7*Source!I28*AH7*AL7,2)</f>
        <v>0</v>
      </c>
      <c r="CV7">
        <f>ROUND(Y7*Source!I28,9)</f>
        <v>769.76</v>
      </c>
      <c r="CW7">
        <v>0</v>
      </c>
      <c r="CX7">
        <f>ROUND(Y7*Source!I28,9)</f>
        <v>769.76</v>
      </c>
      <c r="CY7">
        <f>AD7</f>
        <v>0</v>
      </c>
      <c r="CZ7">
        <f>AH7</f>
        <v>0</v>
      </c>
      <c r="DA7">
        <f>AL7</f>
        <v>1</v>
      </c>
      <c r="DB7">
        <f t="shared" ref="DB7:DB23" si="5">ROUND(ROUND(AT7*CZ7,2),6)</f>
        <v>0</v>
      </c>
      <c r="DC7">
        <f t="shared" ref="DC7:DC23" si="6">ROUND(ROUND(AT7*AG7,2),6)</f>
        <v>0</v>
      </c>
      <c r="DD7" t="s">
        <v>3</v>
      </c>
      <c r="DE7" t="s">
        <v>3</v>
      </c>
      <c r="DF7">
        <f t="shared" si="0"/>
        <v>0</v>
      </c>
      <c r="DG7">
        <f t="shared" si="1"/>
        <v>0</v>
      </c>
      <c r="DH7">
        <f t="shared" si="2"/>
        <v>0</v>
      </c>
      <c r="DI7">
        <f t="shared" si="3"/>
        <v>0</v>
      </c>
      <c r="DJ7">
        <f>DI7</f>
        <v>0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5">
      <c r="A8">
        <f>ROW(Source!A28)</f>
        <v>28</v>
      </c>
      <c r="B8">
        <v>48805144</v>
      </c>
      <c r="C8">
        <v>48805368</v>
      </c>
      <c r="D8">
        <v>48176850</v>
      </c>
      <c r="E8">
        <v>1</v>
      </c>
      <c r="F8">
        <v>1</v>
      </c>
      <c r="G8">
        <v>39</v>
      </c>
      <c r="H8">
        <v>2</v>
      </c>
      <c r="I8" t="s">
        <v>137</v>
      </c>
      <c r="J8" t="s">
        <v>138</v>
      </c>
      <c r="K8" t="s">
        <v>139</v>
      </c>
      <c r="L8">
        <v>1368</v>
      </c>
      <c r="N8">
        <v>1011</v>
      </c>
      <c r="O8" t="s">
        <v>136</v>
      </c>
      <c r="P8" t="s">
        <v>136</v>
      </c>
      <c r="Q8">
        <v>1</v>
      </c>
      <c r="W8">
        <v>0</v>
      </c>
      <c r="X8">
        <v>654421746</v>
      </c>
      <c r="Y8">
        <f t="shared" si="4"/>
        <v>1.4999999999999999E-2</v>
      </c>
      <c r="AA8">
        <v>0</v>
      </c>
      <c r="AB8">
        <v>33.9</v>
      </c>
      <c r="AC8">
        <v>0.02</v>
      </c>
      <c r="AD8">
        <v>0</v>
      </c>
      <c r="AE8">
        <v>0</v>
      </c>
      <c r="AF8">
        <v>33.9</v>
      </c>
      <c r="AG8">
        <v>0.02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3</v>
      </c>
      <c r="AT8">
        <v>1.4999999999999999E-2</v>
      </c>
      <c r="AU8" t="s">
        <v>3</v>
      </c>
      <c r="AV8">
        <v>0</v>
      </c>
      <c r="AW8">
        <v>2</v>
      </c>
      <c r="AX8">
        <v>48805387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f>ROUND(Y8*Source!I28*DO8,9)</f>
        <v>0</v>
      </c>
      <c r="CX8">
        <f>ROUND(Y8*Source!I28,9)</f>
        <v>4.2450000000000001</v>
      </c>
      <c r="CY8">
        <f>AB8</f>
        <v>33.9</v>
      </c>
      <c r="CZ8">
        <f>AF8</f>
        <v>33.9</v>
      </c>
      <c r="DA8">
        <f>AJ8</f>
        <v>1</v>
      </c>
      <c r="DB8">
        <f t="shared" si="5"/>
        <v>0.51</v>
      </c>
      <c r="DC8">
        <f t="shared" si="6"/>
        <v>0</v>
      </c>
      <c r="DD8" t="s">
        <v>3</v>
      </c>
      <c r="DE8" t="s">
        <v>3</v>
      </c>
      <c r="DF8">
        <f t="shared" si="0"/>
        <v>0</v>
      </c>
      <c r="DG8">
        <f t="shared" si="1"/>
        <v>143.91</v>
      </c>
      <c r="DH8">
        <f t="shared" si="2"/>
        <v>0.08</v>
      </c>
      <c r="DI8">
        <f t="shared" si="3"/>
        <v>0</v>
      </c>
      <c r="DJ8">
        <f>DG8</f>
        <v>143.91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5">
      <c r="A9">
        <f>ROW(Source!A28)</f>
        <v>28</v>
      </c>
      <c r="B9">
        <v>48805144</v>
      </c>
      <c r="C9">
        <v>48805368</v>
      </c>
      <c r="D9">
        <v>48177260</v>
      </c>
      <c r="E9">
        <v>1</v>
      </c>
      <c r="F9">
        <v>1</v>
      </c>
      <c r="G9">
        <v>39</v>
      </c>
      <c r="H9">
        <v>2</v>
      </c>
      <c r="I9" t="s">
        <v>140</v>
      </c>
      <c r="J9" t="s">
        <v>141</v>
      </c>
      <c r="K9" t="s">
        <v>142</v>
      </c>
      <c r="L9">
        <v>1368</v>
      </c>
      <c r="N9">
        <v>1011</v>
      </c>
      <c r="O9" t="s">
        <v>136</v>
      </c>
      <c r="P9" t="s">
        <v>136</v>
      </c>
      <c r="Q9">
        <v>1</v>
      </c>
      <c r="W9">
        <v>0</v>
      </c>
      <c r="X9">
        <v>-1178227752</v>
      </c>
      <c r="Y9">
        <f t="shared" si="4"/>
        <v>0.4375</v>
      </c>
      <c r="AA9">
        <v>0</v>
      </c>
      <c r="AB9">
        <v>108.6</v>
      </c>
      <c r="AC9">
        <v>0.08</v>
      </c>
      <c r="AD9">
        <v>0</v>
      </c>
      <c r="AE9">
        <v>0</v>
      </c>
      <c r="AF9">
        <v>108.6</v>
      </c>
      <c r="AG9">
        <v>0.08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0</v>
      </c>
      <c r="AQ9">
        <v>0</v>
      </c>
      <c r="AR9">
        <v>0</v>
      </c>
      <c r="AS9" t="s">
        <v>3</v>
      </c>
      <c r="AT9">
        <v>0.4375</v>
      </c>
      <c r="AU9" t="s">
        <v>3</v>
      </c>
      <c r="AV9">
        <v>0</v>
      </c>
      <c r="AW9">
        <v>2</v>
      </c>
      <c r="AX9">
        <v>48805388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f>ROUND(Y9*Source!I28*DO9,9)</f>
        <v>0</v>
      </c>
      <c r="CX9">
        <f>ROUND(Y9*Source!I28,9)</f>
        <v>123.8125</v>
      </c>
      <c r="CY9">
        <f>AB9</f>
        <v>108.6</v>
      </c>
      <c r="CZ9">
        <f>AF9</f>
        <v>108.6</v>
      </c>
      <c r="DA9">
        <f>AJ9</f>
        <v>1</v>
      </c>
      <c r="DB9">
        <f t="shared" si="5"/>
        <v>47.51</v>
      </c>
      <c r="DC9">
        <f t="shared" si="6"/>
        <v>0.04</v>
      </c>
      <c r="DD9" t="s">
        <v>3</v>
      </c>
      <c r="DE9" t="s">
        <v>3</v>
      </c>
      <c r="DF9">
        <f t="shared" si="0"/>
        <v>0</v>
      </c>
      <c r="DG9">
        <f t="shared" si="1"/>
        <v>13446.04</v>
      </c>
      <c r="DH9">
        <f t="shared" si="2"/>
        <v>9.91</v>
      </c>
      <c r="DI9">
        <f t="shared" si="3"/>
        <v>0</v>
      </c>
      <c r="DJ9">
        <f>DG9</f>
        <v>13446.04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5">
      <c r="A10">
        <f>ROW(Source!A28)</f>
        <v>28</v>
      </c>
      <c r="B10">
        <v>48805144</v>
      </c>
      <c r="C10">
        <v>48805368</v>
      </c>
      <c r="D10">
        <v>48176534</v>
      </c>
      <c r="E10">
        <v>1</v>
      </c>
      <c r="F10">
        <v>1</v>
      </c>
      <c r="G10">
        <v>39</v>
      </c>
      <c r="H10">
        <v>2</v>
      </c>
      <c r="I10" t="s">
        <v>143</v>
      </c>
      <c r="J10" t="s">
        <v>144</v>
      </c>
      <c r="K10" t="s">
        <v>145</v>
      </c>
      <c r="L10">
        <v>1368</v>
      </c>
      <c r="N10">
        <v>1011</v>
      </c>
      <c r="O10" t="s">
        <v>136</v>
      </c>
      <c r="P10" t="s">
        <v>136</v>
      </c>
      <c r="Q10">
        <v>1</v>
      </c>
      <c r="W10">
        <v>0</v>
      </c>
      <c r="X10">
        <v>1741726896</v>
      </c>
      <c r="Y10">
        <f t="shared" si="4"/>
        <v>0.59250000000000003</v>
      </c>
      <c r="AA10">
        <v>0</v>
      </c>
      <c r="AB10">
        <v>2569.77</v>
      </c>
      <c r="AC10">
        <v>1175.7</v>
      </c>
      <c r="AD10">
        <v>0</v>
      </c>
      <c r="AE10">
        <v>0</v>
      </c>
      <c r="AF10">
        <v>2569.77</v>
      </c>
      <c r="AG10">
        <v>1175.7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0</v>
      </c>
      <c r="AQ10">
        <v>0</v>
      </c>
      <c r="AR10">
        <v>0</v>
      </c>
      <c r="AS10" t="s">
        <v>3</v>
      </c>
      <c r="AT10">
        <v>0.59250000000000003</v>
      </c>
      <c r="AU10" t="s">
        <v>3</v>
      </c>
      <c r="AV10">
        <v>0</v>
      </c>
      <c r="AW10">
        <v>2</v>
      </c>
      <c r="AX10">
        <v>48805389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f>ROUND(Y10*Source!I28*DO10,9)</f>
        <v>0</v>
      </c>
      <c r="CX10">
        <f>ROUND(Y10*Source!I28,9)</f>
        <v>167.67750000000001</v>
      </c>
      <c r="CY10">
        <f>AB10</f>
        <v>2569.77</v>
      </c>
      <c r="CZ10">
        <f>AF10</f>
        <v>2569.77</v>
      </c>
      <c r="DA10">
        <f>AJ10</f>
        <v>1</v>
      </c>
      <c r="DB10">
        <f t="shared" si="5"/>
        <v>1522.59</v>
      </c>
      <c r="DC10">
        <f t="shared" si="6"/>
        <v>696.6</v>
      </c>
      <c r="DD10" t="s">
        <v>3</v>
      </c>
      <c r="DE10" t="s">
        <v>3</v>
      </c>
      <c r="DF10">
        <f t="shared" si="0"/>
        <v>0</v>
      </c>
      <c r="DG10">
        <f t="shared" si="1"/>
        <v>430892.61</v>
      </c>
      <c r="DH10">
        <f t="shared" si="2"/>
        <v>197138.44</v>
      </c>
      <c r="DI10">
        <f t="shared" si="3"/>
        <v>0</v>
      </c>
      <c r="DJ10">
        <f>DG10</f>
        <v>430892.61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5">
      <c r="A11">
        <f>ROW(Source!A28)</f>
        <v>28</v>
      </c>
      <c r="B11">
        <v>48805144</v>
      </c>
      <c r="C11">
        <v>48805368</v>
      </c>
      <c r="D11">
        <v>48175656</v>
      </c>
      <c r="E11">
        <v>39</v>
      </c>
      <c r="F11">
        <v>1</v>
      </c>
      <c r="G11">
        <v>39</v>
      </c>
      <c r="H11">
        <v>3</v>
      </c>
      <c r="I11" t="s">
        <v>146</v>
      </c>
      <c r="J11" t="s">
        <v>3</v>
      </c>
      <c r="K11" t="s">
        <v>147</v>
      </c>
      <c r="L11">
        <v>1346</v>
      </c>
      <c r="N11">
        <v>1009</v>
      </c>
      <c r="O11" t="s">
        <v>148</v>
      </c>
      <c r="P11" t="s">
        <v>148</v>
      </c>
      <c r="Q11">
        <v>1</v>
      </c>
      <c r="W11">
        <v>0</v>
      </c>
      <c r="X11">
        <v>1173620707</v>
      </c>
      <c r="Y11">
        <f t="shared" si="4"/>
        <v>0.12</v>
      </c>
      <c r="AA11">
        <v>109.87</v>
      </c>
      <c r="AB11">
        <v>0</v>
      </c>
      <c r="AC11">
        <v>0</v>
      </c>
      <c r="AD11">
        <v>0</v>
      </c>
      <c r="AE11">
        <v>109.86748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0</v>
      </c>
      <c r="AQ11">
        <v>0</v>
      </c>
      <c r="AR11">
        <v>0</v>
      </c>
      <c r="AS11" t="s">
        <v>3</v>
      </c>
      <c r="AT11">
        <v>0.12</v>
      </c>
      <c r="AU11" t="s">
        <v>3</v>
      </c>
      <c r="AV11">
        <v>0</v>
      </c>
      <c r="AW11">
        <v>2</v>
      </c>
      <c r="AX11">
        <v>48805390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v>0</v>
      </c>
      <c r="CX11">
        <f>ROUND(Y11*Source!I28,9)</f>
        <v>33.96</v>
      </c>
      <c r="CY11">
        <f>AA11</f>
        <v>109.87</v>
      </c>
      <c r="CZ11">
        <f>AE11</f>
        <v>109.86748</v>
      </c>
      <c r="DA11">
        <f>AI11</f>
        <v>1</v>
      </c>
      <c r="DB11">
        <f t="shared" si="5"/>
        <v>13.18</v>
      </c>
      <c r="DC11">
        <f t="shared" si="6"/>
        <v>0</v>
      </c>
      <c r="DD11" t="s">
        <v>3</v>
      </c>
      <c r="DE11" t="s">
        <v>3</v>
      </c>
      <c r="DF11">
        <f t="shared" si="0"/>
        <v>3731.19</v>
      </c>
      <c r="DG11">
        <f t="shared" si="1"/>
        <v>0</v>
      </c>
      <c r="DH11">
        <f t="shared" si="2"/>
        <v>0</v>
      </c>
      <c r="DI11">
        <f t="shared" si="3"/>
        <v>0</v>
      </c>
      <c r="DJ11">
        <f>DF11</f>
        <v>3731.19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5">
      <c r="A12">
        <f>ROW(Source!A29)</f>
        <v>29</v>
      </c>
      <c r="B12">
        <v>48805144</v>
      </c>
      <c r="C12">
        <v>48822045</v>
      </c>
      <c r="D12">
        <v>48175442</v>
      </c>
      <c r="E12">
        <v>39</v>
      </c>
      <c r="F12">
        <v>1</v>
      </c>
      <c r="G12">
        <v>39</v>
      </c>
      <c r="H12">
        <v>1</v>
      </c>
      <c r="I12" t="s">
        <v>130</v>
      </c>
      <c r="J12" t="s">
        <v>3</v>
      </c>
      <c r="K12" t="s">
        <v>131</v>
      </c>
      <c r="L12">
        <v>1191</v>
      </c>
      <c r="N12">
        <v>1013</v>
      </c>
      <c r="O12" t="s">
        <v>132</v>
      </c>
      <c r="P12" t="s">
        <v>132</v>
      </c>
      <c r="Q12">
        <v>1</v>
      </c>
      <c r="W12">
        <v>0</v>
      </c>
      <c r="X12">
        <v>476480486</v>
      </c>
      <c r="Y12">
        <f t="shared" si="4"/>
        <v>0.06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0.06</v>
      </c>
      <c r="AU12" t="s">
        <v>3</v>
      </c>
      <c r="AV12">
        <v>1</v>
      </c>
      <c r="AW12">
        <v>2</v>
      </c>
      <c r="AX12">
        <v>48822049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U12">
        <f>ROUND(AT12*Source!I29*AH12*AL12,2)</f>
        <v>0</v>
      </c>
      <c r="CV12">
        <f>ROUND(Y12*Source!I29,9)</f>
        <v>10.14</v>
      </c>
      <c r="CW12">
        <v>0</v>
      </c>
      <c r="CX12">
        <f>ROUND(Y12*Source!I29,9)</f>
        <v>10.14</v>
      </c>
      <c r="CY12">
        <f>AD12</f>
        <v>0</v>
      </c>
      <c r="CZ12">
        <f>AH12</f>
        <v>0</v>
      </c>
      <c r="DA12">
        <f>AL12</f>
        <v>1</v>
      </c>
      <c r="DB12">
        <f t="shared" si="5"/>
        <v>0</v>
      </c>
      <c r="DC12">
        <f t="shared" si="6"/>
        <v>0</v>
      </c>
      <c r="DD12" t="s">
        <v>3</v>
      </c>
      <c r="DE12" t="s">
        <v>3</v>
      </c>
      <c r="DF12">
        <f t="shared" si="0"/>
        <v>0</v>
      </c>
      <c r="DG12">
        <f t="shared" si="1"/>
        <v>0</v>
      </c>
      <c r="DH12">
        <f t="shared" si="2"/>
        <v>0</v>
      </c>
      <c r="DI12">
        <f t="shared" si="3"/>
        <v>0</v>
      </c>
      <c r="DJ12">
        <f>DI12</f>
        <v>0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5">
      <c r="A13">
        <f>ROW(Source!A29)</f>
        <v>29</v>
      </c>
      <c r="B13">
        <v>48805144</v>
      </c>
      <c r="C13">
        <v>48822045</v>
      </c>
      <c r="D13">
        <v>48177075</v>
      </c>
      <c r="E13">
        <v>1</v>
      </c>
      <c r="F13">
        <v>1</v>
      </c>
      <c r="G13">
        <v>39</v>
      </c>
      <c r="H13">
        <v>2</v>
      </c>
      <c r="I13" t="s">
        <v>149</v>
      </c>
      <c r="J13" t="s">
        <v>150</v>
      </c>
      <c r="K13" t="s">
        <v>151</v>
      </c>
      <c r="L13">
        <v>1368</v>
      </c>
      <c r="N13">
        <v>1011</v>
      </c>
      <c r="O13" t="s">
        <v>136</v>
      </c>
      <c r="P13" t="s">
        <v>136</v>
      </c>
      <c r="Q13">
        <v>1</v>
      </c>
      <c r="W13">
        <v>0</v>
      </c>
      <c r="X13">
        <v>-109123771</v>
      </c>
      <c r="Y13">
        <f t="shared" si="4"/>
        <v>0.03</v>
      </c>
      <c r="AA13">
        <v>0</v>
      </c>
      <c r="AB13">
        <v>2164.96</v>
      </c>
      <c r="AC13">
        <v>822.9</v>
      </c>
      <c r="AD13">
        <v>0</v>
      </c>
      <c r="AE13">
        <v>0</v>
      </c>
      <c r="AF13">
        <v>2164.96</v>
      </c>
      <c r="AG13">
        <v>822.9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0.03</v>
      </c>
      <c r="AU13" t="s">
        <v>3</v>
      </c>
      <c r="AV13">
        <v>0</v>
      </c>
      <c r="AW13">
        <v>2</v>
      </c>
      <c r="AX13">
        <v>48822050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f>ROUND(Y13*Source!I29*DO13,9)</f>
        <v>0</v>
      </c>
      <c r="CX13">
        <f>ROUND(Y13*Source!I29,9)</f>
        <v>5.07</v>
      </c>
      <c r="CY13">
        <f>AB13</f>
        <v>2164.96</v>
      </c>
      <c r="CZ13">
        <f>AF13</f>
        <v>2164.96</v>
      </c>
      <c r="DA13">
        <f>AJ13</f>
        <v>1</v>
      </c>
      <c r="DB13">
        <f t="shared" si="5"/>
        <v>64.95</v>
      </c>
      <c r="DC13">
        <f t="shared" si="6"/>
        <v>24.69</v>
      </c>
      <c r="DD13" t="s">
        <v>3</v>
      </c>
      <c r="DE13" t="s">
        <v>3</v>
      </c>
      <c r="DF13">
        <f t="shared" si="0"/>
        <v>0</v>
      </c>
      <c r="DG13">
        <f t="shared" si="1"/>
        <v>10976.35</v>
      </c>
      <c r="DH13">
        <f t="shared" si="2"/>
        <v>4172.1000000000004</v>
      </c>
      <c r="DI13">
        <f t="shared" si="3"/>
        <v>0</v>
      </c>
      <c r="DJ13">
        <f>DG13</f>
        <v>10976.35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5">
      <c r="A14">
        <f>ROW(Source!A29)</f>
        <v>29</v>
      </c>
      <c r="B14">
        <v>48805144</v>
      </c>
      <c r="C14">
        <v>48822045</v>
      </c>
      <c r="D14">
        <v>48176488</v>
      </c>
      <c r="E14">
        <v>1</v>
      </c>
      <c r="F14">
        <v>1</v>
      </c>
      <c r="G14">
        <v>39</v>
      </c>
      <c r="H14">
        <v>2</v>
      </c>
      <c r="I14" t="s">
        <v>152</v>
      </c>
      <c r="J14" t="s">
        <v>153</v>
      </c>
      <c r="K14" t="s">
        <v>154</v>
      </c>
      <c r="L14">
        <v>1368</v>
      </c>
      <c r="N14">
        <v>1011</v>
      </c>
      <c r="O14" t="s">
        <v>136</v>
      </c>
      <c r="P14" t="s">
        <v>136</v>
      </c>
      <c r="Q14">
        <v>1</v>
      </c>
      <c r="W14">
        <v>0</v>
      </c>
      <c r="X14">
        <v>1563569120</v>
      </c>
      <c r="Y14">
        <f t="shared" si="4"/>
        <v>0.03</v>
      </c>
      <c r="AA14">
        <v>0</v>
      </c>
      <c r="AB14">
        <v>1702.9</v>
      </c>
      <c r="AC14">
        <v>705.1</v>
      </c>
      <c r="AD14">
        <v>0</v>
      </c>
      <c r="AE14">
        <v>0</v>
      </c>
      <c r="AF14">
        <v>1702.9</v>
      </c>
      <c r="AG14">
        <v>705.1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0.03</v>
      </c>
      <c r="AU14" t="s">
        <v>3</v>
      </c>
      <c r="AV14">
        <v>0</v>
      </c>
      <c r="AW14">
        <v>2</v>
      </c>
      <c r="AX14">
        <v>48822051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f>ROUND(Y14*Source!I29*DO14,9)</f>
        <v>0</v>
      </c>
      <c r="CX14">
        <f>ROUND(Y14*Source!I29,9)</f>
        <v>5.07</v>
      </c>
      <c r="CY14">
        <f>AB14</f>
        <v>1702.9</v>
      </c>
      <c r="CZ14">
        <f>AF14</f>
        <v>1702.9</v>
      </c>
      <c r="DA14">
        <f>AJ14</f>
        <v>1</v>
      </c>
      <c r="DB14">
        <f t="shared" si="5"/>
        <v>51.09</v>
      </c>
      <c r="DC14">
        <f t="shared" si="6"/>
        <v>21.15</v>
      </c>
      <c r="DD14" t="s">
        <v>3</v>
      </c>
      <c r="DE14" t="s">
        <v>3</v>
      </c>
      <c r="DF14">
        <f t="shared" si="0"/>
        <v>0</v>
      </c>
      <c r="DG14">
        <f t="shared" si="1"/>
        <v>8633.7000000000007</v>
      </c>
      <c r="DH14">
        <f t="shared" si="2"/>
        <v>3574.86</v>
      </c>
      <c r="DI14">
        <f t="shared" si="3"/>
        <v>0</v>
      </c>
      <c r="DJ14">
        <f>DG14</f>
        <v>8633.7000000000007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5">
      <c r="A15">
        <f>ROW(Source!A30)</f>
        <v>30</v>
      </c>
      <c r="B15">
        <v>48805144</v>
      </c>
      <c r="C15">
        <v>48822052</v>
      </c>
      <c r="D15">
        <v>48175442</v>
      </c>
      <c r="E15">
        <v>39</v>
      </c>
      <c r="F15">
        <v>1</v>
      </c>
      <c r="G15">
        <v>39</v>
      </c>
      <c r="H15">
        <v>1</v>
      </c>
      <c r="I15" t="s">
        <v>130</v>
      </c>
      <c r="J15" t="s">
        <v>3</v>
      </c>
      <c r="K15" t="s">
        <v>131</v>
      </c>
      <c r="L15">
        <v>1191</v>
      </c>
      <c r="N15">
        <v>1013</v>
      </c>
      <c r="O15" t="s">
        <v>132</v>
      </c>
      <c r="P15" t="s">
        <v>132</v>
      </c>
      <c r="Q15">
        <v>1</v>
      </c>
      <c r="W15">
        <v>0</v>
      </c>
      <c r="X15">
        <v>476480486</v>
      </c>
      <c r="Y15">
        <f t="shared" si="4"/>
        <v>0.33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</v>
      </c>
      <c r="AT15">
        <v>0.33</v>
      </c>
      <c r="AU15" t="s">
        <v>3</v>
      </c>
      <c r="AV15">
        <v>1</v>
      </c>
      <c r="AW15">
        <v>2</v>
      </c>
      <c r="AX15">
        <v>48822056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U15">
        <f>ROUND(AT15*Source!I30*AH15*AL15,2)</f>
        <v>0</v>
      </c>
      <c r="CV15">
        <f>ROUND(Y15*Source!I30,9)</f>
        <v>28.05</v>
      </c>
      <c r="CW15">
        <v>0</v>
      </c>
      <c r="CX15">
        <f>ROUND(Y15*Source!I30,9)</f>
        <v>28.05</v>
      </c>
      <c r="CY15">
        <f>AD15</f>
        <v>0</v>
      </c>
      <c r="CZ15">
        <f>AH15</f>
        <v>0</v>
      </c>
      <c r="DA15">
        <f>AL15</f>
        <v>1</v>
      </c>
      <c r="DB15">
        <f t="shared" si="5"/>
        <v>0</v>
      </c>
      <c r="DC15">
        <f t="shared" si="6"/>
        <v>0</v>
      </c>
      <c r="DD15" t="s">
        <v>3</v>
      </c>
      <c r="DE15" t="s">
        <v>3</v>
      </c>
      <c r="DF15">
        <f t="shared" si="0"/>
        <v>0</v>
      </c>
      <c r="DG15">
        <f t="shared" si="1"/>
        <v>0</v>
      </c>
      <c r="DH15">
        <f t="shared" si="2"/>
        <v>0</v>
      </c>
      <c r="DI15">
        <f t="shared" si="3"/>
        <v>0</v>
      </c>
      <c r="DJ15">
        <f>DI15</f>
        <v>0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5">
      <c r="A16">
        <f>ROW(Source!A30)</f>
        <v>30</v>
      </c>
      <c r="B16">
        <v>48805144</v>
      </c>
      <c r="C16">
        <v>48822052</v>
      </c>
      <c r="D16">
        <v>48177075</v>
      </c>
      <c r="E16">
        <v>1</v>
      </c>
      <c r="F16">
        <v>1</v>
      </c>
      <c r="G16">
        <v>39</v>
      </c>
      <c r="H16">
        <v>2</v>
      </c>
      <c r="I16" t="s">
        <v>149</v>
      </c>
      <c r="J16" t="s">
        <v>150</v>
      </c>
      <c r="K16" t="s">
        <v>151</v>
      </c>
      <c r="L16">
        <v>1368</v>
      </c>
      <c r="N16">
        <v>1011</v>
      </c>
      <c r="O16" t="s">
        <v>136</v>
      </c>
      <c r="P16" t="s">
        <v>136</v>
      </c>
      <c r="Q16">
        <v>1</v>
      </c>
      <c r="W16">
        <v>0</v>
      </c>
      <c r="X16">
        <v>-109123771</v>
      </c>
      <c r="Y16">
        <f t="shared" si="4"/>
        <v>0.09</v>
      </c>
      <c r="AA16">
        <v>0</v>
      </c>
      <c r="AB16">
        <v>2164.96</v>
      </c>
      <c r="AC16">
        <v>822.9</v>
      </c>
      <c r="AD16">
        <v>0</v>
      </c>
      <c r="AE16">
        <v>0</v>
      </c>
      <c r="AF16">
        <v>2164.96</v>
      </c>
      <c r="AG16">
        <v>822.9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3</v>
      </c>
      <c r="AT16">
        <v>0.09</v>
      </c>
      <c r="AU16" t="s">
        <v>3</v>
      </c>
      <c r="AV16">
        <v>0</v>
      </c>
      <c r="AW16">
        <v>2</v>
      </c>
      <c r="AX16">
        <v>48822057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f>ROUND(Y16*Source!I30*DO16,9)</f>
        <v>0</v>
      </c>
      <c r="CX16">
        <f>ROUND(Y16*Source!I30,9)</f>
        <v>7.65</v>
      </c>
      <c r="CY16">
        <f>AB16</f>
        <v>2164.96</v>
      </c>
      <c r="CZ16">
        <f>AF16</f>
        <v>2164.96</v>
      </c>
      <c r="DA16">
        <f>AJ16</f>
        <v>1</v>
      </c>
      <c r="DB16">
        <f t="shared" si="5"/>
        <v>194.85</v>
      </c>
      <c r="DC16">
        <f t="shared" si="6"/>
        <v>74.06</v>
      </c>
      <c r="DD16" t="s">
        <v>3</v>
      </c>
      <c r="DE16" t="s">
        <v>3</v>
      </c>
      <c r="DF16">
        <f t="shared" si="0"/>
        <v>0</v>
      </c>
      <c r="DG16">
        <f t="shared" si="1"/>
        <v>16561.939999999999</v>
      </c>
      <c r="DH16">
        <f t="shared" si="2"/>
        <v>6295.19</v>
      </c>
      <c r="DI16">
        <f t="shared" si="3"/>
        <v>0</v>
      </c>
      <c r="DJ16">
        <f>DG16</f>
        <v>16561.939999999999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5">
      <c r="A17">
        <f>ROW(Source!A30)</f>
        <v>30</v>
      </c>
      <c r="B17">
        <v>48805144</v>
      </c>
      <c r="C17">
        <v>48822052</v>
      </c>
      <c r="D17">
        <v>48176488</v>
      </c>
      <c r="E17">
        <v>1</v>
      </c>
      <c r="F17">
        <v>1</v>
      </c>
      <c r="G17">
        <v>39</v>
      </c>
      <c r="H17">
        <v>2</v>
      </c>
      <c r="I17" t="s">
        <v>152</v>
      </c>
      <c r="J17" t="s">
        <v>153</v>
      </c>
      <c r="K17" t="s">
        <v>154</v>
      </c>
      <c r="L17">
        <v>1368</v>
      </c>
      <c r="N17">
        <v>1011</v>
      </c>
      <c r="O17" t="s">
        <v>136</v>
      </c>
      <c r="P17" t="s">
        <v>136</v>
      </c>
      <c r="Q17">
        <v>1</v>
      </c>
      <c r="W17">
        <v>0</v>
      </c>
      <c r="X17">
        <v>1563569120</v>
      </c>
      <c r="Y17">
        <f t="shared" si="4"/>
        <v>0.09</v>
      </c>
      <c r="AA17">
        <v>0</v>
      </c>
      <c r="AB17">
        <v>1702.9</v>
      </c>
      <c r="AC17">
        <v>705.1</v>
      </c>
      <c r="AD17">
        <v>0</v>
      </c>
      <c r="AE17">
        <v>0</v>
      </c>
      <c r="AF17">
        <v>1702.9</v>
      </c>
      <c r="AG17">
        <v>705.1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0.09</v>
      </c>
      <c r="AU17" t="s">
        <v>3</v>
      </c>
      <c r="AV17">
        <v>0</v>
      </c>
      <c r="AW17">
        <v>2</v>
      </c>
      <c r="AX17">
        <v>48822058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f>ROUND(Y17*Source!I30*DO17,9)</f>
        <v>0</v>
      </c>
      <c r="CX17">
        <f>ROUND(Y17*Source!I30,9)</f>
        <v>7.65</v>
      </c>
      <c r="CY17">
        <f>AB17</f>
        <v>1702.9</v>
      </c>
      <c r="CZ17">
        <f>AF17</f>
        <v>1702.9</v>
      </c>
      <c r="DA17">
        <f>AJ17</f>
        <v>1</v>
      </c>
      <c r="DB17">
        <f t="shared" si="5"/>
        <v>153.26</v>
      </c>
      <c r="DC17">
        <f t="shared" si="6"/>
        <v>63.46</v>
      </c>
      <c r="DD17" t="s">
        <v>3</v>
      </c>
      <c r="DE17" t="s">
        <v>3</v>
      </c>
      <c r="DF17">
        <f t="shared" si="0"/>
        <v>0</v>
      </c>
      <c r="DG17">
        <f t="shared" si="1"/>
        <v>13027.19</v>
      </c>
      <c r="DH17">
        <f t="shared" si="2"/>
        <v>5394.02</v>
      </c>
      <c r="DI17">
        <f t="shared" si="3"/>
        <v>0</v>
      </c>
      <c r="DJ17">
        <f>DG17</f>
        <v>13027.19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5">
      <c r="A18">
        <f>ROW(Source!A31)</f>
        <v>31</v>
      </c>
      <c r="B18">
        <v>48805144</v>
      </c>
      <c r="C18">
        <v>48822059</v>
      </c>
      <c r="D18">
        <v>48175442</v>
      </c>
      <c r="E18">
        <v>39</v>
      </c>
      <c r="F18">
        <v>1</v>
      </c>
      <c r="G18">
        <v>39</v>
      </c>
      <c r="H18">
        <v>1</v>
      </c>
      <c r="I18" t="s">
        <v>130</v>
      </c>
      <c r="J18" t="s">
        <v>3</v>
      </c>
      <c r="K18" t="s">
        <v>131</v>
      </c>
      <c r="L18">
        <v>1191</v>
      </c>
      <c r="N18">
        <v>1013</v>
      </c>
      <c r="O18" t="s">
        <v>132</v>
      </c>
      <c r="P18" t="s">
        <v>132</v>
      </c>
      <c r="Q18">
        <v>1</v>
      </c>
      <c r="W18">
        <v>0</v>
      </c>
      <c r="X18">
        <v>476480486</v>
      </c>
      <c r="Y18">
        <f t="shared" si="4"/>
        <v>0.42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0.42</v>
      </c>
      <c r="AU18" t="s">
        <v>3</v>
      </c>
      <c r="AV18">
        <v>1</v>
      </c>
      <c r="AW18">
        <v>2</v>
      </c>
      <c r="AX18">
        <v>48822063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U18">
        <f>ROUND(AT18*Source!I31*AH18*AL18,2)</f>
        <v>0</v>
      </c>
      <c r="CV18">
        <f>ROUND(Y18*Source!I31,9)</f>
        <v>12.18</v>
      </c>
      <c r="CW18">
        <v>0</v>
      </c>
      <c r="CX18">
        <f>ROUND(Y18*Source!I31,9)</f>
        <v>12.18</v>
      </c>
      <c r="CY18">
        <f>AD18</f>
        <v>0</v>
      </c>
      <c r="CZ18">
        <f>AH18</f>
        <v>0</v>
      </c>
      <c r="DA18">
        <f>AL18</f>
        <v>1</v>
      </c>
      <c r="DB18">
        <f t="shared" si="5"/>
        <v>0</v>
      </c>
      <c r="DC18">
        <f t="shared" si="6"/>
        <v>0</v>
      </c>
      <c r="DD18" t="s">
        <v>3</v>
      </c>
      <c r="DE18" t="s">
        <v>3</v>
      </c>
      <c r="DF18">
        <f t="shared" si="0"/>
        <v>0</v>
      </c>
      <c r="DG18">
        <f t="shared" si="1"/>
        <v>0</v>
      </c>
      <c r="DH18">
        <f t="shared" si="2"/>
        <v>0</v>
      </c>
      <c r="DI18">
        <f t="shared" si="3"/>
        <v>0</v>
      </c>
      <c r="DJ18">
        <f>DI18</f>
        <v>0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5">
      <c r="A19">
        <f>ROW(Source!A31)</f>
        <v>31</v>
      </c>
      <c r="B19">
        <v>48805144</v>
      </c>
      <c r="C19">
        <v>48822059</v>
      </c>
      <c r="D19">
        <v>48177075</v>
      </c>
      <c r="E19">
        <v>1</v>
      </c>
      <c r="F19">
        <v>1</v>
      </c>
      <c r="G19">
        <v>39</v>
      </c>
      <c r="H19">
        <v>2</v>
      </c>
      <c r="I19" t="s">
        <v>149</v>
      </c>
      <c r="J19" t="s">
        <v>150</v>
      </c>
      <c r="K19" t="s">
        <v>151</v>
      </c>
      <c r="L19">
        <v>1368</v>
      </c>
      <c r="N19">
        <v>1011</v>
      </c>
      <c r="O19" t="s">
        <v>136</v>
      </c>
      <c r="P19" t="s">
        <v>136</v>
      </c>
      <c r="Q19">
        <v>1</v>
      </c>
      <c r="W19">
        <v>0</v>
      </c>
      <c r="X19">
        <v>-109123771</v>
      </c>
      <c r="Y19">
        <f t="shared" si="4"/>
        <v>0.12</v>
      </c>
      <c r="AA19">
        <v>0</v>
      </c>
      <c r="AB19">
        <v>2164.96</v>
      </c>
      <c r="AC19">
        <v>822.9</v>
      </c>
      <c r="AD19">
        <v>0</v>
      </c>
      <c r="AE19">
        <v>0</v>
      </c>
      <c r="AF19">
        <v>2164.96</v>
      </c>
      <c r="AG19">
        <v>822.9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3</v>
      </c>
      <c r="AT19">
        <v>0.12</v>
      </c>
      <c r="AU19" t="s">
        <v>3</v>
      </c>
      <c r="AV19">
        <v>0</v>
      </c>
      <c r="AW19">
        <v>2</v>
      </c>
      <c r="AX19">
        <v>48822064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f>ROUND(Y19*Source!I31*DO19,9)</f>
        <v>0</v>
      </c>
      <c r="CX19">
        <f>ROUND(Y19*Source!I31,9)</f>
        <v>3.48</v>
      </c>
      <c r="CY19">
        <f>AB19</f>
        <v>2164.96</v>
      </c>
      <c r="CZ19">
        <f>AF19</f>
        <v>2164.96</v>
      </c>
      <c r="DA19">
        <f>AJ19</f>
        <v>1</v>
      </c>
      <c r="DB19">
        <f t="shared" si="5"/>
        <v>259.8</v>
      </c>
      <c r="DC19">
        <f t="shared" si="6"/>
        <v>98.75</v>
      </c>
      <c r="DD19" t="s">
        <v>3</v>
      </c>
      <c r="DE19" t="s">
        <v>3</v>
      </c>
      <c r="DF19">
        <f t="shared" si="0"/>
        <v>0</v>
      </c>
      <c r="DG19">
        <f t="shared" si="1"/>
        <v>7534.06</v>
      </c>
      <c r="DH19">
        <f t="shared" si="2"/>
        <v>2863.69</v>
      </c>
      <c r="DI19">
        <f t="shared" si="3"/>
        <v>0</v>
      </c>
      <c r="DJ19">
        <f>DG19</f>
        <v>7534.06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5">
      <c r="A20">
        <f>ROW(Source!A31)</f>
        <v>31</v>
      </c>
      <c r="B20">
        <v>48805144</v>
      </c>
      <c r="C20">
        <v>48822059</v>
      </c>
      <c r="D20">
        <v>48176488</v>
      </c>
      <c r="E20">
        <v>1</v>
      </c>
      <c r="F20">
        <v>1</v>
      </c>
      <c r="G20">
        <v>39</v>
      </c>
      <c r="H20">
        <v>2</v>
      </c>
      <c r="I20" t="s">
        <v>152</v>
      </c>
      <c r="J20" t="s">
        <v>153</v>
      </c>
      <c r="K20" t="s">
        <v>154</v>
      </c>
      <c r="L20">
        <v>1368</v>
      </c>
      <c r="N20">
        <v>1011</v>
      </c>
      <c r="O20" t="s">
        <v>136</v>
      </c>
      <c r="P20" t="s">
        <v>136</v>
      </c>
      <c r="Q20">
        <v>1</v>
      </c>
      <c r="W20">
        <v>0</v>
      </c>
      <c r="X20">
        <v>1563569120</v>
      </c>
      <c r="Y20">
        <f t="shared" si="4"/>
        <v>0.12</v>
      </c>
      <c r="AA20">
        <v>0</v>
      </c>
      <c r="AB20">
        <v>1702.9</v>
      </c>
      <c r="AC20">
        <v>705.1</v>
      </c>
      <c r="AD20">
        <v>0</v>
      </c>
      <c r="AE20">
        <v>0</v>
      </c>
      <c r="AF20">
        <v>1702.9</v>
      </c>
      <c r="AG20">
        <v>705.1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3</v>
      </c>
      <c r="AT20">
        <v>0.12</v>
      </c>
      <c r="AU20" t="s">
        <v>3</v>
      </c>
      <c r="AV20">
        <v>0</v>
      </c>
      <c r="AW20">
        <v>2</v>
      </c>
      <c r="AX20">
        <v>48822065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f>ROUND(Y20*Source!I31*DO20,9)</f>
        <v>0</v>
      </c>
      <c r="CX20">
        <f>ROUND(Y20*Source!I31,9)</f>
        <v>3.48</v>
      </c>
      <c r="CY20">
        <f>AB20</f>
        <v>1702.9</v>
      </c>
      <c r="CZ20">
        <f>AF20</f>
        <v>1702.9</v>
      </c>
      <c r="DA20">
        <f>AJ20</f>
        <v>1</v>
      </c>
      <c r="DB20">
        <f t="shared" si="5"/>
        <v>204.35</v>
      </c>
      <c r="DC20">
        <f t="shared" si="6"/>
        <v>84.61</v>
      </c>
      <c r="DD20" t="s">
        <v>3</v>
      </c>
      <c r="DE20" t="s">
        <v>3</v>
      </c>
      <c r="DF20">
        <f t="shared" si="0"/>
        <v>0</v>
      </c>
      <c r="DG20">
        <f t="shared" si="1"/>
        <v>5926.09</v>
      </c>
      <c r="DH20">
        <f t="shared" si="2"/>
        <v>2453.75</v>
      </c>
      <c r="DI20">
        <f t="shared" si="3"/>
        <v>0</v>
      </c>
      <c r="DJ20">
        <f>DG20</f>
        <v>5926.09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5">
      <c r="A21">
        <f>ROW(Source!A32)</f>
        <v>32</v>
      </c>
      <c r="B21">
        <v>48805144</v>
      </c>
      <c r="C21">
        <v>48805376</v>
      </c>
      <c r="D21">
        <v>48175442</v>
      </c>
      <c r="E21">
        <v>39</v>
      </c>
      <c r="F21">
        <v>1</v>
      </c>
      <c r="G21">
        <v>39</v>
      </c>
      <c r="H21">
        <v>1</v>
      </c>
      <c r="I21" t="s">
        <v>130</v>
      </c>
      <c r="J21" t="s">
        <v>3</v>
      </c>
      <c r="K21" t="s">
        <v>131</v>
      </c>
      <c r="L21">
        <v>1191</v>
      </c>
      <c r="N21">
        <v>1013</v>
      </c>
      <c r="O21" t="s">
        <v>132</v>
      </c>
      <c r="P21" t="s">
        <v>132</v>
      </c>
      <c r="Q21">
        <v>1</v>
      </c>
      <c r="W21">
        <v>0</v>
      </c>
      <c r="X21">
        <v>476480486</v>
      </c>
      <c r="Y21">
        <f t="shared" si="4"/>
        <v>0.45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3</v>
      </c>
      <c r="AT21">
        <v>0.45</v>
      </c>
      <c r="AU21" t="s">
        <v>3</v>
      </c>
      <c r="AV21">
        <v>1</v>
      </c>
      <c r="AW21">
        <v>2</v>
      </c>
      <c r="AX21">
        <v>48805385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U21">
        <f>ROUND(AT21*Source!I32*AH21*AL21,2)</f>
        <v>0</v>
      </c>
      <c r="CV21">
        <f>ROUND(Y21*Source!I32,9)</f>
        <v>27.461114999999999</v>
      </c>
      <c r="CW21">
        <v>0</v>
      </c>
      <c r="CX21">
        <f>ROUND(Y21*Source!I32,9)</f>
        <v>27.461114999999999</v>
      </c>
      <c r="CY21">
        <f>AD21</f>
        <v>0</v>
      </c>
      <c r="CZ21">
        <f>AH21</f>
        <v>0</v>
      </c>
      <c r="DA21">
        <f>AL21</f>
        <v>1</v>
      </c>
      <c r="DB21">
        <f t="shared" si="5"/>
        <v>0</v>
      </c>
      <c r="DC21">
        <f t="shared" si="6"/>
        <v>0</v>
      </c>
      <c r="DD21" t="s">
        <v>3</v>
      </c>
      <c r="DE21" t="s">
        <v>3</v>
      </c>
      <c r="DF21">
        <f t="shared" si="0"/>
        <v>0</v>
      </c>
      <c r="DG21">
        <f t="shared" si="1"/>
        <v>0</v>
      </c>
      <c r="DH21">
        <f t="shared" si="2"/>
        <v>0</v>
      </c>
      <c r="DI21">
        <f t="shared" si="3"/>
        <v>0</v>
      </c>
      <c r="DJ21">
        <f>DI21</f>
        <v>0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5">
      <c r="A22">
        <f>ROW(Source!A33)</f>
        <v>33</v>
      </c>
      <c r="B22">
        <v>48805144</v>
      </c>
      <c r="C22">
        <v>48822091</v>
      </c>
      <c r="D22">
        <v>48175442</v>
      </c>
      <c r="E22">
        <v>39</v>
      </c>
      <c r="F22">
        <v>1</v>
      </c>
      <c r="G22">
        <v>39</v>
      </c>
      <c r="H22">
        <v>1</v>
      </c>
      <c r="I22" t="s">
        <v>130</v>
      </c>
      <c r="J22" t="s">
        <v>3</v>
      </c>
      <c r="K22" t="s">
        <v>131</v>
      </c>
      <c r="L22">
        <v>1191</v>
      </c>
      <c r="N22">
        <v>1013</v>
      </c>
      <c r="O22" t="s">
        <v>132</v>
      </c>
      <c r="P22" t="s">
        <v>132</v>
      </c>
      <c r="Q22">
        <v>1</v>
      </c>
      <c r="W22">
        <v>0</v>
      </c>
      <c r="X22">
        <v>476480486</v>
      </c>
      <c r="Y22">
        <f t="shared" si="4"/>
        <v>0.59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3</v>
      </c>
      <c r="AT22">
        <v>0.59</v>
      </c>
      <c r="AU22" t="s">
        <v>3</v>
      </c>
      <c r="AV22">
        <v>1</v>
      </c>
      <c r="AW22">
        <v>2</v>
      </c>
      <c r="AX22">
        <v>48822093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U22">
        <f>ROUND(AT22*Source!I33*AH22*AL22,2)</f>
        <v>0</v>
      </c>
      <c r="CV22">
        <f>ROUND(Y22*Source!I33,9)</f>
        <v>71.272000000000006</v>
      </c>
      <c r="CW22">
        <v>0</v>
      </c>
      <c r="CX22">
        <f>ROUND(Y22*Source!I33,9)</f>
        <v>71.272000000000006</v>
      </c>
      <c r="CY22">
        <f>AD22</f>
        <v>0</v>
      </c>
      <c r="CZ22">
        <f>AH22</f>
        <v>0</v>
      </c>
      <c r="DA22">
        <f>AL22</f>
        <v>1</v>
      </c>
      <c r="DB22">
        <f t="shared" si="5"/>
        <v>0</v>
      </c>
      <c r="DC22">
        <f t="shared" si="6"/>
        <v>0</v>
      </c>
      <c r="DD22" t="s">
        <v>3</v>
      </c>
      <c r="DE22" t="s">
        <v>3</v>
      </c>
      <c r="DF22">
        <f t="shared" si="0"/>
        <v>0</v>
      </c>
      <c r="DG22">
        <f t="shared" si="1"/>
        <v>0</v>
      </c>
      <c r="DH22">
        <f t="shared" si="2"/>
        <v>0</v>
      </c>
      <c r="DI22">
        <f t="shared" si="3"/>
        <v>0</v>
      </c>
      <c r="DJ22">
        <f>DI22</f>
        <v>0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5">
      <c r="A23">
        <f>ROW(Source!A34)</f>
        <v>34</v>
      </c>
      <c r="B23">
        <v>48805144</v>
      </c>
      <c r="C23">
        <v>48822071</v>
      </c>
      <c r="D23">
        <v>48177135</v>
      </c>
      <c r="E23">
        <v>1</v>
      </c>
      <c r="F23">
        <v>1</v>
      </c>
      <c r="G23">
        <v>39</v>
      </c>
      <c r="H23">
        <v>2</v>
      </c>
      <c r="I23" t="s">
        <v>155</v>
      </c>
      <c r="J23" t="s">
        <v>156</v>
      </c>
      <c r="K23" t="s">
        <v>157</v>
      </c>
      <c r="L23">
        <v>1368</v>
      </c>
      <c r="N23">
        <v>1011</v>
      </c>
      <c r="O23" t="s">
        <v>136</v>
      </c>
      <c r="P23" t="s">
        <v>136</v>
      </c>
      <c r="Q23">
        <v>1</v>
      </c>
      <c r="W23">
        <v>0</v>
      </c>
      <c r="X23">
        <v>1669811787</v>
      </c>
      <c r="Y23">
        <f t="shared" si="4"/>
        <v>0.105</v>
      </c>
      <c r="AA23">
        <v>0</v>
      </c>
      <c r="AB23">
        <v>2313.21</v>
      </c>
      <c r="AC23">
        <v>718.67</v>
      </c>
      <c r="AD23">
        <v>0</v>
      </c>
      <c r="AE23">
        <v>0</v>
      </c>
      <c r="AF23">
        <v>2313.21</v>
      </c>
      <c r="AG23">
        <v>718.67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3</v>
      </c>
      <c r="AT23">
        <v>0.105</v>
      </c>
      <c r="AU23" t="s">
        <v>3</v>
      </c>
      <c r="AV23">
        <v>0</v>
      </c>
      <c r="AW23">
        <v>2</v>
      </c>
      <c r="AX23">
        <v>48822073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f>ROUND(Y23*Source!I34*DO23,9)</f>
        <v>0</v>
      </c>
      <c r="CX23">
        <f>ROUND(Y23*Source!I34,9)</f>
        <v>8.1374999999999993</v>
      </c>
      <c r="CY23">
        <f>AB23</f>
        <v>2313.21</v>
      </c>
      <c r="CZ23">
        <f>AF23</f>
        <v>2313.21</v>
      </c>
      <c r="DA23">
        <f>AJ23</f>
        <v>1</v>
      </c>
      <c r="DB23">
        <f t="shared" si="5"/>
        <v>242.89</v>
      </c>
      <c r="DC23">
        <f t="shared" si="6"/>
        <v>75.459999999999994</v>
      </c>
      <c r="DD23" t="s">
        <v>3</v>
      </c>
      <c r="DE23" t="s">
        <v>3</v>
      </c>
      <c r="DF23">
        <f t="shared" si="0"/>
        <v>0</v>
      </c>
      <c r="DG23">
        <f t="shared" si="1"/>
        <v>18823.75</v>
      </c>
      <c r="DH23">
        <f t="shared" si="2"/>
        <v>5848.18</v>
      </c>
      <c r="DI23">
        <f t="shared" si="3"/>
        <v>0</v>
      </c>
      <c r="DJ23">
        <f>DG23</f>
        <v>18823.75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5">
      <c r="A24">
        <f>ROW(Source!A35)</f>
        <v>35</v>
      </c>
      <c r="B24">
        <v>48805144</v>
      </c>
      <c r="C24">
        <v>48822074</v>
      </c>
      <c r="D24">
        <v>48177135</v>
      </c>
      <c r="E24">
        <v>1</v>
      </c>
      <c r="F24">
        <v>1</v>
      </c>
      <c r="G24">
        <v>39</v>
      </c>
      <c r="H24">
        <v>2</v>
      </c>
      <c r="I24" t="s">
        <v>155</v>
      </c>
      <c r="J24" t="s">
        <v>156</v>
      </c>
      <c r="K24" t="s">
        <v>157</v>
      </c>
      <c r="L24">
        <v>1368</v>
      </c>
      <c r="N24">
        <v>1011</v>
      </c>
      <c r="O24" t="s">
        <v>136</v>
      </c>
      <c r="P24" t="s">
        <v>136</v>
      </c>
      <c r="Q24">
        <v>1</v>
      </c>
      <c r="W24">
        <v>0</v>
      </c>
      <c r="X24">
        <v>1669811787</v>
      </c>
      <c r="Y24">
        <f>(AT24*64)</f>
        <v>0.77439999999999998</v>
      </c>
      <c r="AA24">
        <v>0</v>
      </c>
      <c r="AB24">
        <v>2313.21</v>
      </c>
      <c r="AC24">
        <v>718.67</v>
      </c>
      <c r="AD24">
        <v>0</v>
      </c>
      <c r="AE24">
        <v>0</v>
      </c>
      <c r="AF24">
        <v>2313.21</v>
      </c>
      <c r="AG24">
        <v>718.67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1.21E-2</v>
      </c>
      <c r="AU24" t="s">
        <v>69</v>
      </c>
      <c r="AV24">
        <v>0</v>
      </c>
      <c r="AW24">
        <v>2</v>
      </c>
      <c r="AX24">
        <v>48822076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f>ROUND(Y24*Source!I35*DO24,9)</f>
        <v>0</v>
      </c>
      <c r="CX24">
        <f>ROUND(Y24*Source!I35,9)</f>
        <v>60.015999999999998</v>
      </c>
      <c r="CY24">
        <f>AB24</f>
        <v>2313.21</v>
      </c>
      <c r="CZ24">
        <f>AF24</f>
        <v>2313.21</v>
      </c>
      <c r="DA24">
        <f>AJ24</f>
        <v>1</v>
      </c>
      <c r="DB24">
        <f>ROUND((ROUND(AT24*CZ24,2)*64),6)</f>
        <v>1791.36</v>
      </c>
      <c r="DC24">
        <f>ROUND((ROUND(AT24*AG24,2)*64),6)</f>
        <v>556.79999999999995</v>
      </c>
      <c r="DD24" t="s">
        <v>3</v>
      </c>
      <c r="DE24" t="s">
        <v>3</v>
      </c>
      <c r="DF24">
        <f t="shared" si="0"/>
        <v>0</v>
      </c>
      <c r="DG24">
        <f t="shared" si="1"/>
        <v>138829.60999999999</v>
      </c>
      <c r="DH24">
        <f t="shared" si="2"/>
        <v>43131.7</v>
      </c>
      <c r="DI24">
        <f t="shared" si="3"/>
        <v>0</v>
      </c>
      <c r="DJ24">
        <f>DG24</f>
        <v>138829.60999999999</v>
      </c>
      <c r="DK24">
        <v>0</v>
      </c>
      <c r="DL24" t="s">
        <v>3</v>
      </c>
      <c r="DM24">
        <v>0</v>
      </c>
      <c r="DN24" t="s">
        <v>3</v>
      </c>
      <c r="DO24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R24"/>
  <sheetViews>
    <sheetView workbookViewId="0"/>
  </sheetViews>
  <sheetFormatPr defaultColWidth="9.109375" defaultRowHeight="13.2" x14ac:dyDescent="0.25"/>
  <cols>
    <col min="1" max="256" width="9.109375" customWidth="1"/>
  </cols>
  <sheetData>
    <row r="1" spans="1:44" x14ac:dyDescent="0.25">
      <c r="A1">
        <f>ROW(Source!A24)</f>
        <v>24</v>
      </c>
      <c r="B1">
        <v>48822097</v>
      </c>
      <c r="C1">
        <v>48822096</v>
      </c>
      <c r="D1">
        <v>48175442</v>
      </c>
      <c r="E1">
        <v>39</v>
      </c>
      <c r="F1">
        <v>1</v>
      </c>
      <c r="G1">
        <v>39</v>
      </c>
      <c r="H1">
        <v>1</v>
      </c>
      <c r="I1" t="s">
        <v>130</v>
      </c>
      <c r="J1" t="s">
        <v>3</v>
      </c>
      <c r="K1" t="s">
        <v>131</v>
      </c>
      <c r="L1">
        <v>1191</v>
      </c>
      <c r="N1">
        <v>1013</v>
      </c>
      <c r="O1" t="s">
        <v>132</v>
      </c>
      <c r="P1" t="s">
        <v>132</v>
      </c>
      <c r="Q1">
        <v>1</v>
      </c>
      <c r="X1">
        <v>1.81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3</v>
      </c>
      <c r="AG1">
        <v>1.81</v>
      </c>
      <c r="AH1">
        <v>2</v>
      </c>
      <c r="AI1">
        <v>48822097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5">
      <c r="A2">
        <f>ROW(Source!A24)</f>
        <v>24</v>
      </c>
      <c r="B2">
        <v>48822098</v>
      </c>
      <c r="C2">
        <v>48822096</v>
      </c>
      <c r="D2">
        <v>48177227</v>
      </c>
      <c r="E2">
        <v>1</v>
      </c>
      <c r="F2">
        <v>1</v>
      </c>
      <c r="G2">
        <v>39</v>
      </c>
      <c r="H2">
        <v>2</v>
      </c>
      <c r="I2" t="s">
        <v>133</v>
      </c>
      <c r="J2" t="s">
        <v>134</v>
      </c>
      <c r="K2" t="s">
        <v>135</v>
      </c>
      <c r="L2">
        <v>1368</v>
      </c>
      <c r="N2">
        <v>1011</v>
      </c>
      <c r="O2" t="s">
        <v>136</v>
      </c>
      <c r="P2" t="s">
        <v>136</v>
      </c>
      <c r="Q2">
        <v>1</v>
      </c>
      <c r="X2">
        <v>0.24</v>
      </c>
      <c r="Y2">
        <v>0</v>
      </c>
      <c r="Z2">
        <v>211.71</v>
      </c>
      <c r="AA2">
        <v>0.56000000000000005</v>
      </c>
      <c r="AB2">
        <v>0</v>
      </c>
      <c r="AC2">
        <v>0</v>
      </c>
      <c r="AD2">
        <v>1</v>
      </c>
      <c r="AE2">
        <v>0</v>
      </c>
      <c r="AF2" t="s">
        <v>3</v>
      </c>
      <c r="AG2">
        <v>0.24</v>
      </c>
      <c r="AH2">
        <v>2</v>
      </c>
      <c r="AI2">
        <v>48822098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5">
      <c r="A3">
        <f>ROW(Source!A25)</f>
        <v>25</v>
      </c>
      <c r="B3">
        <v>48822104</v>
      </c>
      <c r="C3">
        <v>48822102</v>
      </c>
      <c r="D3">
        <v>48175442</v>
      </c>
      <c r="E3">
        <v>39</v>
      </c>
      <c r="F3">
        <v>1</v>
      </c>
      <c r="G3">
        <v>39</v>
      </c>
      <c r="H3">
        <v>1</v>
      </c>
      <c r="I3" t="s">
        <v>130</v>
      </c>
      <c r="J3" t="s">
        <v>3</v>
      </c>
      <c r="K3" t="s">
        <v>131</v>
      </c>
      <c r="L3">
        <v>1191</v>
      </c>
      <c r="N3">
        <v>1013</v>
      </c>
      <c r="O3" t="s">
        <v>132</v>
      </c>
      <c r="P3" t="s">
        <v>132</v>
      </c>
      <c r="Q3">
        <v>1</v>
      </c>
      <c r="X3">
        <v>0.46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25</v>
      </c>
      <c r="AG3">
        <v>0.92</v>
      </c>
      <c r="AH3">
        <v>2</v>
      </c>
      <c r="AI3">
        <v>48822103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5">
      <c r="A4">
        <f>ROW(Source!A26)</f>
        <v>26</v>
      </c>
      <c r="B4">
        <v>48822100</v>
      </c>
      <c r="C4">
        <v>48822099</v>
      </c>
      <c r="D4">
        <v>48175442</v>
      </c>
      <c r="E4">
        <v>39</v>
      </c>
      <c r="F4">
        <v>1</v>
      </c>
      <c r="G4">
        <v>39</v>
      </c>
      <c r="H4">
        <v>1</v>
      </c>
      <c r="I4" t="s">
        <v>130</v>
      </c>
      <c r="J4" t="s">
        <v>3</v>
      </c>
      <c r="K4" t="s">
        <v>131</v>
      </c>
      <c r="L4">
        <v>1191</v>
      </c>
      <c r="N4">
        <v>1013</v>
      </c>
      <c r="O4" t="s">
        <v>132</v>
      </c>
      <c r="P4" t="s">
        <v>132</v>
      </c>
      <c r="Q4">
        <v>1</v>
      </c>
      <c r="X4">
        <v>2.64</v>
      </c>
      <c r="Y4">
        <v>0</v>
      </c>
      <c r="Z4">
        <v>0</v>
      </c>
      <c r="AA4">
        <v>0</v>
      </c>
      <c r="AB4">
        <v>0</v>
      </c>
      <c r="AC4">
        <v>0</v>
      </c>
      <c r="AD4">
        <v>1</v>
      </c>
      <c r="AE4">
        <v>1</v>
      </c>
      <c r="AF4" t="s">
        <v>3</v>
      </c>
      <c r="AG4">
        <v>2.64</v>
      </c>
      <c r="AH4">
        <v>2</v>
      </c>
      <c r="AI4">
        <v>48822100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5">
      <c r="A5">
        <f>ROW(Source!A26)</f>
        <v>26</v>
      </c>
      <c r="B5">
        <v>48822101</v>
      </c>
      <c r="C5">
        <v>48822099</v>
      </c>
      <c r="D5">
        <v>48177227</v>
      </c>
      <c r="E5">
        <v>1</v>
      </c>
      <c r="F5">
        <v>1</v>
      </c>
      <c r="G5">
        <v>39</v>
      </c>
      <c r="H5">
        <v>2</v>
      </c>
      <c r="I5" t="s">
        <v>133</v>
      </c>
      <c r="J5" t="s">
        <v>134</v>
      </c>
      <c r="K5" t="s">
        <v>135</v>
      </c>
      <c r="L5">
        <v>1368</v>
      </c>
      <c r="N5">
        <v>1011</v>
      </c>
      <c r="O5" t="s">
        <v>136</v>
      </c>
      <c r="P5" t="s">
        <v>136</v>
      </c>
      <c r="Q5">
        <v>1</v>
      </c>
      <c r="X5">
        <v>0.33</v>
      </c>
      <c r="Y5">
        <v>0</v>
      </c>
      <c r="Z5">
        <v>211.71</v>
      </c>
      <c r="AA5">
        <v>0.56000000000000005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0.33</v>
      </c>
      <c r="AH5">
        <v>2</v>
      </c>
      <c r="AI5">
        <v>48822101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5">
      <c r="A6">
        <f>ROW(Source!A27)</f>
        <v>27</v>
      </c>
      <c r="B6">
        <v>48822089</v>
      </c>
      <c r="C6">
        <v>48822088</v>
      </c>
      <c r="D6">
        <v>48175442</v>
      </c>
      <c r="E6">
        <v>39</v>
      </c>
      <c r="F6">
        <v>1</v>
      </c>
      <c r="G6">
        <v>39</v>
      </c>
      <c r="H6">
        <v>1</v>
      </c>
      <c r="I6" t="s">
        <v>130</v>
      </c>
      <c r="J6" t="s">
        <v>3</v>
      </c>
      <c r="K6" t="s">
        <v>131</v>
      </c>
      <c r="L6">
        <v>1191</v>
      </c>
      <c r="N6">
        <v>1013</v>
      </c>
      <c r="O6" t="s">
        <v>132</v>
      </c>
      <c r="P6" t="s">
        <v>132</v>
      </c>
      <c r="Q6">
        <v>1</v>
      </c>
      <c r="X6">
        <v>0.57999999999999996</v>
      </c>
      <c r="Y6">
        <v>0</v>
      </c>
      <c r="Z6">
        <v>0</v>
      </c>
      <c r="AA6">
        <v>0</v>
      </c>
      <c r="AB6">
        <v>0</v>
      </c>
      <c r="AC6">
        <v>0</v>
      </c>
      <c r="AD6">
        <v>1</v>
      </c>
      <c r="AE6">
        <v>1</v>
      </c>
      <c r="AF6" t="s">
        <v>25</v>
      </c>
      <c r="AG6">
        <v>1.1599999999999999</v>
      </c>
      <c r="AH6">
        <v>2</v>
      </c>
      <c r="AI6">
        <v>48822089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5">
      <c r="A7">
        <f>ROW(Source!A28)</f>
        <v>28</v>
      </c>
      <c r="B7">
        <v>48805386</v>
      </c>
      <c r="C7">
        <v>48805368</v>
      </c>
      <c r="D7">
        <v>48175442</v>
      </c>
      <c r="E7">
        <v>39</v>
      </c>
      <c r="F7">
        <v>1</v>
      </c>
      <c r="G7">
        <v>39</v>
      </c>
      <c r="H7">
        <v>1</v>
      </c>
      <c r="I7" t="s">
        <v>130</v>
      </c>
      <c r="J7" t="s">
        <v>3</v>
      </c>
      <c r="K7" t="s">
        <v>131</v>
      </c>
      <c r="L7">
        <v>1191</v>
      </c>
      <c r="N7">
        <v>1013</v>
      </c>
      <c r="O7" t="s">
        <v>132</v>
      </c>
      <c r="P7" t="s">
        <v>132</v>
      </c>
      <c r="Q7">
        <v>1</v>
      </c>
      <c r="X7">
        <v>2.72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1</v>
      </c>
      <c r="AF7" t="s">
        <v>3</v>
      </c>
      <c r="AG7">
        <v>2.72</v>
      </c>
      <c r="AH7">
        <v>2</v>
      </c>
      <c r="AI7">
        <v>48805386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5">
      <c r="A8">
        <f>ROW(Source!A28)</f>
        <v>28</v>
      </c>
      <c r="B8">
        <v>48805387</v>
      </c>
      <c r="C8">
        <v>48805368</v>
      </c>
      <c r="D8">
        <v>48176850</v>
      </c>
      <c r="E8">
        <v>1</v>
      </c>
      <c r="F8">
        <v>1</v>
      </c>
      <c r="G8">
        <v>39</v>
      </c>
      <c r="H8">
        <v>2</v>
      </c>
      <c r="I8" t="s">
        <v>137</v>
      </c>
      <c r="J8" t="s">
        <v>138</v>
      </c>
      <c r="K8" t="s">
        <v>139</v>
      </c>
      <c r="L8">
        <v>1368</v>
      </c>
      <c r="N8">
        <v>1011</v>
      </c>
      <c r="O8" t="s">
        <v>136</v>
      </c>
      <c r="P8" t="s">
        <v>136</v>
      </c>
      <c r="Q8">
        <v>1</v>
      </c>
      <c r="X8">
        <v>1.4999999999999999E-2</v>
      </c>
      <c r="Y8">
        <v>0</v>
      </c>
      <c r="Z8">
        <v>33.9</v>
      </c>
      <c r="AA8">
        <v>0.02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1.4999999999999999E-2</v>
      </c>
      <c r="AH8">
        <v>2</v>
      </c>
      <c r="AI8">
        <v>48805387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5">
      <c r="A9">
        <f>ROW(Source!A28)</f>
        <v>28</v>
      </c>
      <c r="B9">
        <v>48805388</v>
      </c>
      <c r="C9">
        <v>48805368</v>
      </c>
      <c r="D9">
        <v>48177260</v>
      </c>
      <c r="E9">
        <v>1</v>
      </c>
      <c r="F9">
        <v>1</v>
      </c>
      <c r="G9">
        <v>39</v>
      </c>
      <c r="H9">
        <v>2</v>
      </c>
      <c r="I9" t="s">
        <v>140</v>
      </c>
      <c r="J9" t="s">
        <v>141</v>
      </c>
      <c r="K9" t="s">
        <v>142</v>
      </c>
      <c r="L9">
        <v>1368</v>
      </c>
      <c r="N9">
        <v>1011</v>
      </c>
      <c r="O9" t="s">
        <v>136</v>
      </c>
      <c r="P9" t="s">
        <v>136</v>
      </c>
      <c r="Q9">
        <v>1</v>
      </c>
      <c r="X9">
        <v>0.4375</v>
      </c>
      <c r="Y9">
        <v>0</v>
      </c>
      <c r="Z9">
        <v>108.6</v>
      </c>
      <c r="AA9">
        <v>0.08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0.4375</v>
      </c>
      <c r="AH9">
        <v>2</v>
      </c>
      <c r="AI9">
        <v>48805388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5">
      <c r="A10">
        <f>ROW(Source!A28)</f>
        <v>28</v>
      </c>
      <c r="B10">
        <v>48805389</v>
      </c>
      <c r="C10">
        <v>48805368</v>
      </c>
      <c r="D10">
        <v>48176534</v>
      </c>
      <c r="E10">
        <v>1</v>
      </c>
      <c r="F10">
        <v>1</v>
      </c>
      <c r="G10">
        <v>39</v>
      </c>
      <c r="H10">
        <v>2</v>
      </c>
      <c r="I10" t="s">
        <v>143</v>
      </c>
      <c r="J10" t="s">
        <v>144</v>
      </c>
      <c r="K10" t="s">
        <v>145</v>
      </c>
      <c r="L10">
        <v>1368</v>
      </c>
      <c r="N10">
        <v>1011</v>
      </c>
      <c r="O10" t="s">
        <v>136</v>
      </c>
      <c r="P10" t="s">
        <v>136</v>
      </c>
      <c r="Q10">
        <v>1</v>
      </c>
      <c r="X10">
        <v>0.59250000000000003</v>
      </c>
      <c r="Y10">
        <v>0</v>
      </c>
      <c r="Z10">
        <v>2569.77</v>
      </c>
      <c r="AA10">
        <v>1175.7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0.59250000000000003</v>
      </c>
      <c r="AH10">
        <v>2</v>
      </c>
      <c r="AI10">
        <v>48805389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5">
      <c r="A11">
        <f>ROW(Source!A28)</f>
        <v>28</v>
      </c>
      <c r="B11">
        <v>48805390</v>
      </c>
      <c r="C11">
        <v>48805368</v>
      </c>
      <c r="D11">
        <v>48175656</v>
      </c>
      <c r="E11">
        <v>39</v>
      </c>
      <c r="F11">
        <v>1</v>
      </c>
      <c r="G11">
        <v>39</v>
      </c>
      <c r="H11">
        <v>3</v>
      </c>
      <c r="I11" t="s">
        <v>146</v>
      </c>
      <c r="J11" t="s">
        <v>3</v>
      </c>
      <c r="K11" t="s">
        <v>147</v>
      </c>
      <c r="L11">
        <v>1346</v>
      </c>
      <c r="N11">
        <v>1009</v>
      </c>
      <c r="O11" t="s">
        <v>148</v>
      </c>
      <c r="P11" t="s">
        <v>148</v>
      </c>
      <c r="Q11">
        <v>1</v>
      </c>
      <c r="X11">
        <v>0.12</v>
      </c>
      <c r="Y11">
        <v>109.86748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0.12</v>
      </c>
      <c r="AH11">
        <v>2</v>
      </c>
      <c r="AI11">
        <v>48805390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5">
      <c r="A12">
        <f>ROW(Source!A29)</f>
        <v>29</v>
      </c>
      <c r="B12">
        <v>48822049</v>
      </c>
      <c r="C12">
        <v>48822045</v>
      </c>
      <c r="D12">
        <v>48175442</v>
      </c>
      <c r="E12">
        <v>39</v>
      </c>
      <c r="F12">
        <v>1</v>
      </c>
      <c r="G12">
        <v>39</v>
      </c>
      <c r="H12">
        <v>1</v>
      </c>
      <c r="I12" t="s">
        <v>130</v>
      </c>
      <c r="J12" t="s">
        <v>3</v>
      </c>
      <c r="K12" t="s">
        <v>131</v>
      </c>
      <c r="L12">
        <v>1191</v>
      </c>
      <c r="N12">
        <v>1013</v>
      </c>
      <c r="O12" t="s">
        <v>132</v>
      </c>
      <c r="P12" t="s">
        <v>132</v>
      </c>
      <c r="Q12">
        <v>1</v>
      </c>
      <c r="X12">
        <v>0.06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1</v>
      </c>
      <c r="AF12" t="s">
        <v>3</v>
      </c>
      <c r="AG12">
        <v>0.06</v>
      </c>
      <c r="AH12">
        <v>2</v>
      </c>
      <c r="AI12">
        <v>48822046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5">
      <c r="A13">
        <f>ROW(Source!A29)</f>
        <v>29</v>
      </c>
      <c r="B13">
        <v>48822050</v>
      </c>
      <c r="C13">
        <v>48822045</v>
      </c>
      <c r="D13">
        <v>48177075</v>
      </c>
      <c r="E13">
        <v>1</v>
      </c>
      <c r="F13">
        <v>1</v>
      </c>
      <c r="G13">
        <v>39</v>
      </c>
      <c r="H13">
        <v>2</v>
      </c>
      <c r="I13" t="s">
        <v>149</v>
      </c>
      <c r="J13" t="s">
        <v>150</v>
      </c>
      <c r="K13" t="s">
        <v>151</v>
      </c>
      <c r="L13">
        <v>1368</v>
      </c>
      <c r="N13">
        <v>1011</v>
      </c>
      <c r="O13" t="s">
        <v>136</v>
      </c>
      <c r="P13" t="s">
        <v>136</v>
      </c>
      <c r="Q13">
        <v>1</v>
      </c>
      <c r="X13">
        <v>0.03</v>
      </c>
      <c r="Y13">
        <v>0</v>
      </c>
      <c r="Z13">
        <v>2164.96</v>
      </c>
      <c r="AA13">
        <v>822.9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0.03</v>
      </c>
      <c r="AH13">
        <v>2</v>
      </c>
      <c r="AI13">
        <v>48822047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5">
      <c r="A14">
        <f>ROW(Source!A29)</f>
        <v>29</v>
      </c>
      <c r="B14">
        <v>48822051</v>
      </c>
      <c r="C14">
        <v>48822045</v>
      </c>
      <c r="D14">
        <v>48176488</v>
      </c>
      <c r="E14">
        <v>1</v>
      </c>
      <c r="F14">
        <v>1</v>
      </c>
      <c r="G14">
        <v>39</v>
      </c>
      <c r="H14">
        <v>2</v>
      </c>
      <c r="I14" t="s">
        <v>152</v>
      </c>
      <c r="J14" t="s">
        <v>153</v>
      </c>
      <c r="K14" t="s">
        <v>154</v>
      </c>
      <c r="L14">
        <v>1368</v>
      </c>
      <c r="N14">
        <v>1011</v>
      </c>
      <c r="O14" t="s">
        <v>136</v>
      </c>
      <c r="P14" t="s">
        <v>136</v>
      </c>
      <c r="Q14">
        <v>1</v>
      </c>
      <c r="X14">
        <v>0.03</v>
      </c>
      <c r="Y14">
        <v>0</v>
      </c>
      <c r="Z14">
        <v>1702.9</v>
      </c>
      <c r="AA14">
        <v>705.1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0.03</v>
      </c>
      <c r="AH14">
        <v>2</v>
      </c>
      <c r="AI14">
        <v>48822048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5">
      <c r="A15">
        <f>ROW(Source!A30)</f>
        <v>30</v>
      </c>
      <c r="B15">
        <v>48822056</v>
      </c>
      <c r="C15">
        <v>48822052</v>
      </c>
      <c r="D15">
        <v>48175442</v>
      </c>
      <c r="E15">
        <v>39</v>
      </c>
      <c r="F15">
        <v>1</v>
      </c>
      <c r="G15">
        <v>39</v>
      </c>
      <c r="H15">
        <v>1</v>
      </c>
      <c r="I15" t="s">
        <v>130</v>
      </c>
      <c r="J15" t="s">
        <v>3</v>
      </c>
      <c r="K15" t="s">
        <v>131</v>
      </c>
      <c r="L15">
        <v>1191</v>
      </c>
      <c r="N15">
        <v>1013</v>
      </c>
      <c r="O15" t="s">
        <v>132</v>
      </c>
      <c r="P15" t="s">
        <v>132</v>
      </c>
      <c r="Q15">
        <v>1</v>
      </c>
      <c r="X15">
        <v>0.33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1</v>
      </c>
      <c r="AF15" t="s">
        <v>3</v>
      </c>
      <c r="AG15">
        <v>0.33</v>
      </c>
      <c r="AH15">
        <v>2</v>
      </c>
      <c r="AI15">
        <v>48822053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5">
      <c r="A16">
        <f>ROW(Source!A30)</f>
        <v>30</v>
      </c>
      <c r="B16">
        <v>48822057</v>
      </c>
      <c r="C16">
        <v>48822052</v>
      </c>
      <c r="D16">
        <v>48177075</v>
      </c>
      <c r="E16">
        <v>1</v>
      </c>
      <c r="F16">
        <v>1</v>
      </c>
      <c r="G16">
        <v>39</v>
      </c>
      <c r="H16">
        <v>2</v>
      </c>
      <c r="I16" t="s">
        <v>149</v>
      </c>
      <c r="J16" t="s">
        <v>150</v>
      </c>
      <c r="K16" t="s">
        <v>151</v>
      </c>
      <c r="L16">
        <v>1368</v>
      </c>
      <c r="N16">
        <v>1011</v>
      </c>
      <c r="O16" t="s">
        <v>136</v>
      </c>
      <c r="P16" t="s">
        <v>136</v>
      </c>
      <c r="Q16">
        <v>1</v>
      </c>
      <c r="X16">
        <v>0.09</v>
      </c>
      <c r="Y16">
        <v>0</v>
      </c>
      <c r="Z16">
        <v>2164.96</v>
      </c>
      <c r="AA16">
        <v>822.9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0.09</v>
      </c>
      <c r="AH16">
        <v>2</v>
      </c>
      <c r="AI16">
        <v>48822054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5">
      <c r="A17">
        <f>ROW(Source!A30)</f>
        <v>30</v>
      </c>
      <c r="B17">
        <v>48822058</v>
      </c>
      <c r="C17">
        <v>48822052</v>
      </c>
      <c r="D17">
        <v>48176488</v>
      </c>
      <c r="E17">
        <v>1</v>
      </c>
      <c r="F17">
        <v>1</v>
      </c>
      <c r="G17">
        <v>39</v>
      </c>
      <c r="H17">
        <v>2</v>
      </c>
      <c r="I17" t="s">
        <v>152</v>
      </c>
      <c r="J17" t="s">
        <v>153</v>
      </c>
      <c r="K17" t="s">
        <v>154</v>
      </c>
      <c r="L17">
        <v>1368</v>
      </c>
      <c r="N17">
        <v>1011</v>
      </c>
      <c r="O17" t="s">
        <v>136</v>
      </c>
      <c r="P17" t="s">
        <v>136</v>
      </c>
      <c r="Q17">
        <v>1</v>
      </c>
      <c r="X17">
        <v>0.09</v>
      </c>
      <c r="Y17">
        <v>0</v>
      </c>
      <c r="Z17">
        <v>1702.9</v>
      </c>
      <c r="AA17">
        <v>705.1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0.09</v>
      </c>
      <c r="AH17">
        <v>2</v>
      </c>
      <c r="AI17">
        <v>48822055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5">
      <c r="A18">
        <f>ROW(Source!A31)</f>
        <v>31</v>
      </c>
      <c r="B18">
        <v>48822063</v>
      </c>
      <c r="C18">
        <v>48822059</v>
      </c>
      <c r="D18">
        <v>48175442</v>
      </c>
      <c r="E18">
        <v>39</v>
      </c>
      <c r="F18">
        <v>1</v>
      </c>
      <c r="G18">
        <v>39</v>
      </c>
      <c r="H18">
        <v>1</v>
      </c>
      <c r="I18" t="s">
        <v>130</v>
      </c>
      <c r="J18" t="s">
        <v>3</v>
      </c>
      <c r="K18" t="s">
        <v>131</v>
      </c>
      <c r="L18">
        <v>1191</v>
      </c>
      <c r="N18">
        <v>1013</v>
      </c>
      <c r="O18" t="s">
        <v>132</v>
      </c>
      <c r="P18" t="s">
        <v>132</v>
      </c>
      <c r="Q18">
        <v>1</v>
      </c>
      <c r="X18">
        <v>0.42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1</v>
      </c>
      <c r="AF18" t="s">
        <v>3</v>
      </c>
      <c r="AG18">
        <v>0.42</v>
      </c>
      <c r="AH18">
        <v>2</v>
      </c>
      <c r="AI18">
        <v>48822060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5">
      <c r="A19">
        <f>ROW(Source!A31)</f>
        <v>31</v>
      </c>
      <c r="B19">
        <v>48822064</v>
      </c>
      <c r="C19">
        <v>48822059</v>
      </c>
      <c r="D19">
        <v>48177075</v>
      </c>
      <c r="E19">
        <v>1</v>
      </c>
      <c r="F19">
        <v>1</v>
      </c>
      <c r="G19">
        <v>39</v>
      </c>
      <c r="H19">
        <v>2</v>
      </c>
      <c r="I19" t="s">
        <v>149</v>
      </c>
      <c r="J19" t="s">
        <v>150</v>
      </c>
      <c r="K19" t="s">
        <v>151</v>
      </c>
      <c r="L19">
        <v>1368</v>
      </c>
      <c r="N19">
        <v>1011</v>
      </c>
      <c r="O19" t="s">
        <v>136</v>
      </c>
      <c r="P19" t="s">
        <v>136</v>
      </c>
      <c r="Q19">
        <v>1</v>
      </c>
      <c r="X19">
        <v>0.12</v>
      </c>
      <c r="Y19">
        <v>0</v>
      </c>
      <c r="Z19">
        <v>2164.96</v>
      </c>
      <c r="AA19">
        <v>822.9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0.12</v>
      </c>
      <c r="AH19">
        <v>2</v>
      </c>
      <c r="AI19">
        <v>48822061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5">
      <c r="A20">
        <f>ROW(Source!A31)</f>
        <v>31</v>
      </c>
      <c r="B20">
        <v>48822065</v>
      </c>
      <c r="C20">
        <v>48822059</v>
      </c>
      <c r="D20">
        <v>48176488</v>
      </c>
      <c r="E20">
        <v>1</v>
      </c>
      <c r="F20">
        <v>1</v>
      </c>
      <c r="G20">
        <v>39</v>
      </c>
      <c r="H20">
        <v>2</v>
      </c>
      <c r="I20" t="s">
        <v>152</v>
      </c>
      <c r="J20" t="s">
        <v>153</v>
      </c>
      <c r="K20" t="s">
        <v>154</v>
      </c>
      <c r="L20">
        <v>1368</v>
      </c>
      <c r="N20">
        <v>1011</v>
      </c>
      <c r="O20" t="s">
        <v>136</v>
      </c>
      <c r="P20" t="s">
        <v>136</v>
      </c>
      <c r="Q20">
        <v>1</v>
      </c>
      <c r="X20">
        <v>0.12</v>
      </c>
      <c r="Y20">
        <v>0</v>
      </c>
      <c r="Z20">
        <v>1702.9</v>
      </c>
      <c r="AA20">
        <v>705.1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0.12</v>
      </c>
      <c r="AH20">
        <v>2</v>
      </c>
      <c r="AI20">
        <v>48822062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5">
      <c r="A21">
        <f>ROW(Source!A32)</f>
        <v>32</v>
      </c>
      <c r="B21">
        <v>48805385</v>
      </c>
      <c r="C21">
        <v>48805376</v>
      </c>
      <c r="D21">
        <v>48175442</v>
      </c>
      <c r="E21">
        <v>39</v>
      </c>
      <c r="F21">
        <v>1</v>
      </c>
      <c r="G21">
        <v>39</v>
      </c>
      <c r="H21">
        <v>1</v>
      </c>
      <c r="I21" t="s">
        <v>130</v>
      </c>
      <c r="J21" t="s">
        <v>3</v>
      </c>
      <c r="K21" t="s">
        <v>131</v>
      </c>
      <c r="L21">
        <v>1191</v>
      </c>
      <c r="N21">
        <v>1013</v>
      </c>
      <c r="O21" t="s">
        <v>132</v>
      </c>
      <c r="P21" t="s">
        <v>132</v>
      </c>
      <c r="Q21">
        <v>1</v>
      </c>
      <c r="X21">
        <v>0.45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</v>
      </c>
      <c r="AF21" t="s">
        <v>3</v>
      </c>
      <c r="AG21">
        <v>0.45</v>
      </c>
      <c r="AH21">
        <v>2</v>
      </c>
      <c r="AI21">
        <v>48805385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5">
      <c r="A22">
        <f>ROW(Source!A33)</f>
        <v>33</v>
      </c>
      <c r="B22">
        <v>48822093</v>
      </c>
      <c r="C22">
        <v>48822091</v>
      </c>
      <c r="D22">
        <v>48175442</v>
      </c>
      <c r="E22">
        <v>39</v>
      </c>
      <c r="F22">
        <v>1</v>
      </c>
      <c r="G22">
        <v>39</v>
      </c>
      <c r="H22">
        <v>1</v>
      </c>
      <c r="I22" t="s">
        <v>130</v>
      </c>
      <c r="J22" t="s">
        <v>3</v>
      </c>
      <c r="K22" t="s">
        <v>131</v>
      </c>
      <c r="L22">
        <v>1191</v>
      </c>
      <c r="N22">
        <v>1013</v>
      </c>
      <c r="O22" t="s">
        <v>132</v>
      </c>
      <c r="P22" t="s">
        <v>132</v>
      </c>
      <c r="Q22">
        <v>1</v>
      </c>
      <c r="X22">
        <v>0.59</v>
      </c>
      <c r="Y22">
        <v>0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1</v>
      </c>
      <c r="AF22" t="s">
        <v>3</v>
      </c>
      <c r="AG22">
        <v>0.59</v>
      </c>
      <c r="AH22">
        <v>2</v>
      </c>
      <c r="AI22">
        <v>48822092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5">
      <c r="A23">
        <f>ROW(Source!A34)</f>
        <v>34</v>
      </c>
      <c r="B23">
        <v>48822073</v>
      </c>
      <c r="C23">
        <v>48822071</v>
      </c>
      <c r="D23">
        <v>48177135</v>
      </c>
      <c r="E23">
        <v>1</v>
      </c>
      <c r="F23">
        <v>1</v>
      </c>
      <c r="G23">
        <v>39</v>
      </c>
      <c r="H23">
        <v>2</v>
      </c>
      <c r="I23" t="s">
        <v>155</v>
      </c>
      <c r="J23" t="s">
        <v>156</v>
      </c>
      <c r="K23" t="s">
        <v>157</v>
      </c>
      <c r="L23">
        <v>1368</v>
      </c>
      <c r="N23">
        <v>1011</v>
      </c>
      <c r="O23" t="s">
        <v>136</v>
      </c>
      <c r="P23" t="s">
        <v>136</v>
      </c>
      <c r="Q23">
        <v>1</v>
      </c>
      <c r="X23">
        <v>0.105</v>
      </c>
      <c r="Y23">
        <v>0</v>
      </c>
      <c r="Z23">
        <v>2313.21</v>
      </c>
      <c r="AA23">
        <v>718.67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0.105</v>
      </c>
      <c r="AH23">
        <v>2</v>
      </c>
      <c r="AI23">
        <v>48822072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5">
      <c r="A24">
        <f>ROW(Source!A35)</f>
        <v>35</v>
      </c>
      <c r="B24">
        <v>48822076</v>
      </c>
      <c r="C24">
        <v>48822074</v>
      </c>
      <c r="D24">
        <v>48177135</v>
      </c>
      <c r="E24">
        <v>1</v>
      </c>
      <c r="F24">
        <v>1</v>
      </c>
      <c r="G24">
        <v>39</v>
      </c>
      <c r="H24">
        <v>2</v>
      </c>
      <c r="I24" t="s">
        <v>155</v>
      </c>
      <c r="J24" t="s">
        <v>156</v>
      </c>
      <c r="K24" t="s">
        <v>157</v>
      </c>
      <c r="L24">
        <v>1368</v>
      </c>
      <c r="N24">
        <v>1011</v>
      </c>
      <c r="O24" t="s">
        <v>136</v>
      </c>
      <c r="P24" t="s">
        <v>136</v>
      </c>
      <c r="Q24">
        <v>1</v>
      </c>
      <c r="X24">
        <v>1.21E-2</v>
      </c>
      <c r="Y24">
        <v>0</v>
      </c>
      <c r="Z24">
        <v>2313.21</v>
      </c>
      <c r="AA24">
        <v>718.67</v>
      </c>
      <c r="AB24">
        <v>0</v>
      </c>
      <c r="AC24">
        <v>0</v>
      </c>
      <c r="AD24">
        <v>1</v>
      </c>
      <c r="AE24">
        <v>0</v>
      </c>
      <c r="AF24" t="s">
        <v>69</v>
      </c>
      <c r="AG24">
        <v>0.77439999999999998</v>
      </c>
      <c r="AH24">
        <v>2</v>
      </c>
      <c r="AI24">
        <v>48822075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ColWidth="9.109375" defaultRowHeight="13.2" x14ac:dyDescent="0.25"/>
  <cols>
    <col min="1" max="256" width="9.10937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Y12"/>
  <sheetViews>
    <sheetView workbookViewId="0"/>
  </sheetViews>
  <sheetFormatPr defaultColWidth="9.109375" defaultRowHeight="13.2" x14ac:dyDescent="0.25"/>
  <cols>
    <col min="1" max="256" width="9.109375" customWidth="1"/>
  </cols>
  <sheetData>
    <row r="1" spans="1:103" x14ac:dyDescent="0.25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45596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03" x14ac:dyDescent="0.25">
      <c r="F12" t="str">
        <f>Source!F12</f>
        <v>Новый объект_(Копия)</v>
      </c>
      <c r="G12" t="str">
        <f>Source!G12</f>
        <v>Красная Пахра_(Копия)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5"/>
  <sheetViews>
    <sheetView zoomScaleNormal="100" workbookViewId="0">
      <selection activeCell="A13" sqref="A13"/>
    </sheetView>
  </sheetViews>
  <sheetFormatPr defaultRowHeight="13.2" x14ac:dyDescent="0.25"/>
  <cols>
    <col min="1" max="2" width="6.88671875" customWidth="1"/>
    <col min="3" max="3" width="75.88671875" customWidth="1"/>
    <col min="4" max="8" width="15.88671875" customWidth="1"/>
    <col min="30" max="32" width="0" hidden="1" customWidth="1"/>
  </cols>
  <sheetData>
    <row r="1" spans="1:8" x14ac:dyDescent="0.25">
      <c r="A1" s="8" t="str">
        <f>Source!B1</f>
        <v>Smeta.RU  (495) 974-1589</v>
      </c>
    </row>
    <row r="2" spans="1:8" ht="13.8" x14ac:dyDescent="0.25">
      <c r="D2" s="10"/>
      <c r="E2" s="10"/>
    </row>
    <row r="3" spans="1:8" ht="13.8" x14ac:dyDescent="0.25">
      <c r="D3" s="10"/>
      <c r="E3" s="26" t="s">
        <v>159</v>
      </c>
    </row>
    <row r="4" spans="1:8" ht="13.8" x14ac:dyDescent="0.25">
      <c r="D4" s="26"/>
      <c r="E4" s="26"/>
    </row>
    <row r="5" spans="1:8" ht="13.8" x14ac:dyDescent="0.25">
      <c r="D5" s="87" t="s">
        <v>198</v>
      </c>
      <c r="E5" s="87"/>
    </row>
    <row r="6" spans="1:8" ht="13.8" x14ac:dyDescent="0.25">
      <c r="D6" s="31"/>
      <c r="E6" s="31"/>
    </row>
    <row r="7" spans="1:8" ht="13.8" x14ac:dyDescent="0.25">
      <c r="D7" s="87" t="s">
        <v>198</v>
      </c>
      <c r="E7" s="87"/>
    </row>
    <row r="8" spans="1:8" ht="13.8" x14ac:dyDescent="0.25">
      <c r="D8" s="31"/>
      <c r="E8" s="31"/>
    </row>
    <row r="9" spans="1:8" ht="13.8" x14ac:dyDescent="0.25">
      <c r="D9" s="26" t="s">
        <v>199</v>
      </c>
      <c r="E9" s="10"/>
    </row>
    <row r="10" spans="1:8" ht="13.8" x14ac:dyDescent="0.25">
      <c r="D10" s="10"/>
      <c r="E10" s="10"/>
    </row>
    <row r="12" spans="1:8" ht="15.6" x14ac:dyDescent="0.25">
      <c r="B12" s="88" t="str">
        <f>CONCATENATE("Ведомость объемов работ ", IF(Source!AN15&lt;&gt;"", Source!AN15," "))</f>
        <v xml:space="preserve">Ведомость объемов работ  </v>
      </c>
      <c r="C12" s="88"/>
      <c r="D12" s="88"/>
      <c r="E12" s="88"/>
    </row>
    <row r="13" spans="1:8" ht="30" customHeight="1" x14ac:dyDescent="0.25">
      <c r="B13" s="89" t="s">
        <v>326</v>
      </c>
      <c r="C13" s="89"/>
      <c r="D13" s="89"/>
      <c r="E13" s="89"/>
    </row>
    <row r="14" spans="1:8" hidden="1" x14ac:dyDescent="0.25"/>
    <row r="16" spans="1:8" ht="69" x14ac:dyDescent="0.25">
      <c r="A16" s="32" t="s">
        <v>200</v>
      </c>
      <c r="B16" s="32" t="s">
        <v>201</v>
      </c>
      <c r="C16" s="32" t="s">
        <v>173</v>
      </c>
      <c r="D16" s="32" t="s">
        <v>174</v>
      </c>
      <c r="E16" s="32" t="s">
        <v>202</v>
      </c>
      <c r="F16" s="32" t="s">
        <v>203</v>
      </c>
      <c r="G16" s="32" t="s">
        <v>204</v>
      </c>
      <c r="H16" s="32" t="s">
        <v>205</v>
      </c>
    </row>
    <row r="17" spans="1:8" ht="13.8" x14ac:dyDescent="0.25">
      <c r="A17" s="32">
        <v>1</v>
      </c>
      <c r="B17" s="32">
        <v>2</v>
      </c>
      <c r="C17" s="32">
        <v>3</v>
      </c>
      <c r="D17" s="32">
        <v>4</v>
      </c>
      <c r="E17" s="32">
        <v>5</v>
      </c>
      <c r="F17" s="32">
        <v>6</v>
      </c>
      <c r="G17" s="32">
        <v>7</v>
      </c>
      <c r="H17" s="32">
        <v>8</v>
      </c>
    </row>
    <row r="18" spans="1:8" ht="16.8" x14ac:dyDescent="0.3">
      <c r="A18" s="90" t="str">
        <f>CONCATENATE("Локальная смета: ", Source!G20)</f>
        <v>Локальная смета: Новая локальная смета</v>
      </c>
      <c r="B18" s="90"/>
      <c r="C18" s="90"/>
      <c r="D18" s="90"/>
      <c r="E18" s="90"/>
      <c r="F18" s="90"/>
      <c r="G18" s="90"/>
      <c r="H18" s="90"/>
    </row>
    <row r="19" spans="1:8" ht="27.6" x14ac:dyDescent="0.25">
      <c r="A19" s="32">
        <v>1</v>
      </c>
      <c r="B19" s="32" t="str">
        <f>Source!E24</f>
        <v>1</v>
      </c>
      <c r="C19" s="35" t="str">
        <f>Source!G24</f>
        <v>Разделка упавших деревьев вручную с переноской порубочных остатков - диаметром до 300 мм на расстояние 25 м</v>
      </c>
      <c r="D19" s="32" t="s">
        <v>16</v>
      </c>
      <c r="E19" s="36">
        <f>Source!I24</f>
        <v>85</v>
      </c>
      <c r="F19" s="32" t="str">
        <f>Source!J20</f>
        <v/>
      </c>
      <c r="G19" s="32">
        <f>Source!I24</f>
        <v>85</v>
      </c>
      <c r="H19" s="35"/>
    </row>
    <row r="20" spans="1:8" ht="27.6" x14ac:dyDescent="0.25">
      <c r="A20" s="32">
        <v>2</v>
      </c>
      <c r="B20" s="32" t="str">
        <f>Source!E25</f>
        <v>2</v>
      </c>
      <c r="C20" s="35" t="str">
        <f>Source!G25</f>
        <v>Разделка упавших деревьев вручную с переноской порубочных остатков - диаметром до 300 мм, добавлять на каждые 10 м переноски сверх 25 м</v>
      </c>
      <c r="D20" s="32" t="s">
        <v>16</v>
      </c>
      <c r="E20" s="36">
        <f>Source!I25</f>
        <v>85</v>
      </c>
      <c r="F20" s="32" t="str">
        <f>Source!J20</f>
        <v/>
      </c>
      <c r="G20" s="32">
        <f>Source!I25</f>
        <v>85</v>
      </c>
      <c r="H20" s="35"/>
    </row>
    <row r="21" spans="1:8" ht="27.6" x14ac:dyDescent="0.25">
      <c r="A21" s="32">
        <v>3</v>
      </c>
      <c r="B21" s="32" t="str">
        <f>Source!E26</f>
        <v>3</v>
      </c>
      <c r="C21" s="35" t="str">
        <f>Source!G26</f>
        <v>Разделка упавших деревьев вручную с переноской порубочных остатков - диаметром до 400 мм на расстояние 25 м</v>
      </c>
      <c r="D21" s="32" t="s">
        <v>16</v>
      </c>
      <c r="E21" s="36">
        <f>Source!I26</f>
        <v>50</v>
      </c>
      <c r="F21" s="32" t="str">
        <f>Source!J20</f>
        <v/>
      </c>
      <c r="G21" s="32">
        <f>Source!I26</f>
        <v>50</v>
      </c>
      <c r="H21" s="35"/>
    </row>
    <row r="22" spans="1:8" ht="27.6" x14ac:dyDescent="0.25">
      <c r="A22" s="32">
        <v>4</v>
      </c>
      <c r="B22" s="32" t="str">
        <f>Source!E27</f>
        <v>4</v>
      </c>
      <c r="C22" s="35" t="str">
        <f>Source!G27</f>
        <v>Разделка упавших деревьев вручную с переноской порубочных остатков - диаметром до 400 мм, добавлять на каждые 10 м переноски сверх 25 м</v>
      </c>
      <c r="D22" s="32" t="s">
        <v>16</v>
      </c>
      <c r="E22" s="36">
        <f>Source!I27</f>
        <v>50</v>
      </c>
      <c r="F22" s="32" t="str">
        <f>Source!J20</f>
        <v/>
      </c>
      <c r="G22" s="32">
        <f>Source!I27</f>
        <v>50</v>
      </c>
      <c r="H22" s="35"/>
    </row>
    <row r="23" spans="1:8" ht="27.6" x14ac:dyDescent="0.25">
      <c r="A23" s="32">
        <v>5</v>
      </c>
      <c r="B23" s="32" t="str">
        <f>Source!E28</f>
        <v>5</v>
      </c>
      <c r="C23" s="35" t="str">
        <f>Source!G28</f>
        <v>Санитарная обрезка деревьев мягких пород с использованием автовышки - диаметром до 0,5 м при количестве срезанных ветвей более 15</v>
      </c>
      <c r="D23" s="32" t="s">
        <v>16</v>
      </c>
      <c r="E23" s="36">
        <f>Source!I28</f>
        <v>283</v>
      </c>
      <c r="F23" s="32" t="str">
        <f>Source!J20</f>
        <v/>
      </c>
      <c r="G23" s="32">
        <f>Source!I28</f>
        <v>283</v>
      </c>
      <c r="H23" s="35"/>
    </row>
    <row r="24" spans="1:8" ht="13.8" x14ac:dyDescent="0.25">
      <c r="A24" s="32">
        <v>6</v>
      </c>
      <c r="B24" s="32" t="str">
        <f>Source!E29</f>
        <v>6</v>
      </c>
      <c r="C24" s="35" t="str">
        <f>Source!G29</f>
        <v>Измельчение ветвей, сучьев дробилкой - дерево диаметром до 200 мм</v>
      </c>
      <c r="D24" s="32" t="s">
        <v>16</v>
      </c>
      <c r="E24" s="36">
        <f>Source!I29</f>
        <v>169</v>
      </c>
      <c r="F24" s="32" t="str">
        <f>Source!J20</f>
        <v/>
      </c>
      <c r="G24" s="32">
        <f>Source!I29</f>
        <v>169</v>
      </c>
      <c r="H24" s="35"/>
    </row>
    <row r="25" spans="1:8" ht="13.8" x14ac:dyDescent="0.25">
      <c r="A25" s="32">
        <v>7</v>
      </c>
      <c r="B25" s="32" t="str">
        <f>Source!E30</f>
        <v>7</v>
      </c>
      <c r="C25" s="35" t="str">
        <f>Source!G30</f>
        <v>Измельчение ветвей, сучьев дробилкой - дерево диаметром до 300 мм</v>
      </c>
      <c r="D25" s="32" t="s">
        <v>16</v>
      </c>
      <c r="E25" s="36">
        <f>Source!I30</f>
        <v>85</v>
      </c>
      <c r="F25" s="32" t="str">
        <f>Source!J20</f>
        <v/>
      </c>
      <c r="G25" s="32">
        <f>Source!I30</f>
        <v>85</v>
      </c>
      <c r="H25" s="35"/>
    </row>
    <row r="26" spans="1:8" ht="13.8" x14ac:dyDescent="0.25">
      <c r="A26" s="32">
        <v>8</v>
      </c>
      <c r="B26" s="32" t="str">
        <f>Source!E31</f>
        <v>8</v>
      </c>
      <c r="C26" s="35" t="str">
        <f>Source!G31</f>
        <v>Измельчение ветвей, сучьев дробилкой - дерево диаметром до 400 мм</v>
      </c>
      <c r="D26" s="32" t="s">
        <v>16</v>
      </c>
      <c r="E26" s="36">
        <f>Source!I31</f>
        <v>29</v>
      </c>
      <c r="F26" s="32" t="str">
        <f>Source!J20</f>
        <v/>
      </c>
      <c r="G26" s="32">
        <f>Source!I31</f>
        <v>29</v>
      </c>
      <c r="H26" s="35"/>
    </row>
    <row r="27" spans="1:8" ht="27.6" x14ac:dyDescent="0.25">
      <c r="A27" s="32">
        <v>9</v>
      </c>
      <c r="B27" s="32" t="str">
        <f>Source!E32</f>
        <v>9</v>
      </c>
      <c r="C27" s="35" t="str">
        <f>Source!G32</f>
        <v>Погрузка вручную на автотранспорт порубочных остатков - обрезанные ветви</v>
      </c>
      <c r="D27" s="32" t="s">
        <v>53</v>
      </c>
      <c r="E27" s="36">
        <f>Source!I32</f>
        <v>61.024700000000003</v>
      </c>
      <c r="F27" s="32" t="str">
        <f>Source!J20</f>
        <v/>
      </c>
      <c r="G27" s="32">
        <f>Source!I32</f>
        <v>61.024700000000003</v>
      </c>
      <c r="H27" s="35"/>
    </row>
    <row r="28" spans="1:8" ht="27.6" x14ac:dyDescent="0.25">
      <c r="A28" s="32">
        <v>10</v>
      </c>
      <c r="B28" s="32" t="str">
        <f>Source!E33</f>
        <v>10</v>
      </c>
      <c r="C28" s="35" t="str">
        <f>Source!G33</f>
        <v>Погрузка вручную на автотранспорт порубочных остатков - после валки деревьев</v>
      </c>
      <c r="D28" s="32" t="s">
        <v>53</v>
      </c>
      <c r="E28" s="36">
        <f>Source!I33</f>
        <v>120.8</v>
      </c>
      <c r="F28" s="32" t="str">
        <f>Source!J20</f>
        <v/>
      </c>
      <c r="G28" s="32">
        <f>Source!I33</f>
        <v>120.8</v>
      </c>
      <c r="H28" s="35"/>
    </row>
    <row r="29" spans="1:8" ht="41.4" x14ac:dyDescent="0.25">
      <c r="A29" s="32">
        <v>11</v>
      </c>
      <c r="B29" s="32" t="str">
        <f>Source!E34</f>
        <v>11</v>
      </c>
      <c r="C29" s="35" t="str">
        <f>Source!G34</f>
        <v>Перевозка порубочных остатков после вырубки кустарников и обрезанных ветвей автосамосвалами грузоподъемностью до 15 т на расстояние 1 км - при механизированной погрузке</v>
      </c>
      <c r="D29" s="32" t="s">
        <v>62</v>
      </c>
      <c r="E29" s="36">
        <f>Source!I34</f>
        <v>77.5</v>
      </c>
      <c r="F29" s="32" t="str">
        <f>Source!J20</f>
        <v/>
      </c>
      <c r="G29" s="32">
        <f>Source!I34</f>
        <v>77.5</v>
      </c>
      <c r="H29" s="35"/>
    </row>
    <row r="30" spans="1:8" ht="27.6" x14ac:dyDescent="0.25">
      <c r="A30" s="19">
        <v>12</v>
      </c>
      <c r="B30" s="19" t="str">
        <f>Source!E35</f>
        <v>12</v>
      </c>
      <c r="C30" s="33" t="str">
        <f>Source!G35</f>
        <v>Перевозка порубочных остатков автосамосвалами грузоподъемностью до 15 т - добавляется на каждый последующий 1 км до 100 км</v>
      </c>
      <c r="D30" s="19" t="s">
        <v>62</v>
      </c>
      <c r="E30" s="34">
        <f>Source!I35</f>
        <v>77.5</v>
      </c>
      <c r="F30" s="19" t="str">
        <f>Source!J20</f>
        <v/>
      </c>
      <c r="G30" s="19">
        <f>Source!I35</f>
        <v>77.5</v>
      </c>
      <c r="H30" s="33"/>
    </row>
    <row r="33" spans="3:5" ht="13.8" x14ac:dyDescent="0.25">
      <c r="C33" s="37" t="s">
        <v>206</v>
      </c>
      <c r="D33" s="37" t="str">
        <f>IF(Source!X12&lt;&gt;"", Source!X12," ")</f>
        <v xml:space="preserve"> </v>
      </c>
      <c r="E33" s="38"/>
    </row>
    <row r="34" spans="3:5" ht="13.8" x14ac:dyDescent="0.25">
      <c r="C34" s="10"/>
      <c r="D34" s="38"/>
      <c r="E34" s="38"/>
    </row>
    <row r="35" spans="3:5" ht="13.8" x14ac:dyDescent="0.25">
      <c r="C35" s="39" t="s">
        <v>207</v>
      </c>
      <c r="D35" s="39" t="str">
        <f>IF(Source!AB12&lt;&gt;"", Source!AB12," ")</f>
        <v xml:space="preserve"> </v>
      </c>
      <c r="E35" s="38"/>
    </row>
  </sheetData>
  <mergeCells count="5">
    <mergeCell ref="D5:E5"/>
    <mergeCell ref="D7:E7"/>
    <mergeCell ref="B12:E12"/>
    <mergeCell ref="B13:E13"/>
    <mergeCell ref="A18:H18"/>
  </mergeCells>
  <pageMargins left="0.4" right="0.2" top="0.2" bottom="0.4" header="0.2" footer="0.2"/>
  <pageSetup paperSize="9" scale="59" fitToHeight="0" orientation="portrait" verticalDpi="0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34"/>
  <sheetViews>
    <sheetView zoomScaleNormal="100" workbookViewId="0">
      <selection activeCell="A13" sqref="A13"/>
    </sheetView>
  </sheetViews>
  <sheetFormatPr defaultRowHeight="13.2" x14ac:dyDescent="0.25"/>
  <cols>
    <col min="1" max="1" width="6.88671875" customWidth="1"/>
    <col min="2" max="2" width="75.88671875" customWidth="1"/>
    <col min="3" max="5" width="15.88671875" customWidth="1"/>
    <col min="30" max="32" width="0" hidden="1" customWidth="1"/>
  </cols>
  <sheetData>
    <row r="1" spans="1:5" x14ac:dyDescent="0.25">
      <c r="A1" s="8" t="str">
        <f>Source!B1</f>
        <v>Smeta.RU  (495) 974-1589</v>
      </c>
    </row>
    <row r="2" spans="1:5" ht="13.8" x14ac:dyDescent="0.25">
      <c r="C2" s="10"/>
      <c r="D2" s="10"/>
    </row>
    <row r="3" spans="1:5" ht="13.8" x14ac:dyDescent="0.25">
      <c r="C3" s="10"/>
      <c r="D3" s="26" t="s">
        <v>159</v>
      </c>
    </row>
    <row r="4" spans="1:5" ht="13.8" x14ac:dyDescent="0.25">
      <c r="C4" s="26"/>
      <c r="D4" s="26"/>
    </row>
    <row r="5" spans="1:5" ht="13.8" x14ac:dyDescent="0.25">
      <c r="C5" s="87" t="s">
        <v>198</v>
      </c>
      <c r="D5" s="87"/>
    </row>
    <row r="6" spans="1:5" ht="13.8" x14ac:dyDescent="0.25">
      <c r="C6" s="31"/>
      <c r="D6" s="31"/>
    </row>
    <row r="7" spans="1:5" ht="13.8" x14ac:dyDescent="0.25">
      <c r="C7" s="87" t="s">
        <v>198</v>
      </c>
      <c r="D7" s="87"/>
    </row>
    <row r="8" spans="1:5" ht="13.8" x14ac:dyDescent="0.25">
      <c r="C8" s="31"/>
      <c r="D8" s="31"/>
    </row>
    <row r="9" spans="1:5" ht="13.8" x14ac:dyDescent="0.25">
      <c r="C9" s="26" t="s">
        <v>199</v>
      </c>
      <c r="D9" s="10"/>
    </row>
    <row r="10" spans="1:5" ht="13.8" x14ac:dyDescent="0.25">
      <c r="A10" s="10"/>
      <c r="B10" s="10"/>
      <c r="C10" s="10"/>
      <c r="D10" s="10"/>
      <c r="E10" s="10"/>
    </row>
    <row r="11" spans="1:5" ht="15.6" x14ac:dyDescent="0.3">
      <c r="A11" s="91" t="str">
        <f>CONCATENATE("Дефектный акт ", IF(Source!AN15&lt;&gt;"", Source!AN15," "))</f>
        <v xml:space="preserve">Дефектный акт  </v>
      </c>
      <c r="B11" s="91"/>
      <c r="C11" s="91"/>
      <c r="D11" s="91"/>
      <c r="E11" s="10"/>
    </row>
    <row r="12" spans="1:5" ht="29.1" customHeight="1" x14ac:dyDescent="0.25">
      <c r="A12" s="92" t="s">
        <v>326</v>
      </c>
      <c r="B12" s="92"/>
      <c r="C12" s="92"/>
      <c r="D12" s="92"/>
      <c r="E12" s="10"/>
    </row>
    <row r="13" spans="1:5" ht="13.8" x14ac:dyDescent="0.25">
      <c r="A13" s="10"/>
      <c r="B13" s="10"/>
      <c r="C13" s="10"/>
      <c r="D13" s="10"/>
      <c r="E13" s="10"/>
    </row>
    <row r="14" spans="1:5" ht="13.8" x14ac:dyDescent="0.25">
      <c r="A14" s="10"/>
      <c r="B14" s="40" t="s">
        <v>208</v>
      </c>
      <c r="C14" s="10"/>
      <c r="D14" s="10"/>
      <c r="E14" s="10"/>
    </row>
    <row r="15" spans="1:5" ht="13.8" x14ac:dyDescent="0.25">
      <c r="A15" s="10"/>
      <c r="B15" s="40" t="s">
        <v>209</v>
      </c>
      <c r="C15" s="10"/>
      <c r="D15" s="10"/>
      <c r="E15" s="10"/>
    </row>
    <row r="16" spans="1:5" ht="13.8" x14ac:dyDescent="0.25">
      <c r="A16" s="10"/>
      <c r="B16" s="40" t="s">
        <v>210</v>
      </c>
      <c r="C16" s="10"/>
      <c r="D16" s="10"/>
      <c r="E16" s="10"/>
    </row>
    <row r="17" spans="1:5" ht="27.6" x14ac:dyDescent="0.25">
      <c r="A17" s="19" t="s">
        <v>200</v>
      </c>
      <c r="B17" s="19" t="s">
        <v>173</v>
      </c>
      <c r="C17" s="19" t="s">
        <v>174</v>
      </c>
      <c r="D17" s="19" t="s">
        <v>202</v>
      </c>
      <c r="E17" s="32" t="s">
        <v>205</v>
      </c>
    </row>
    <row r="18" spans="1:5" ht="13.8" x14ac:dyDescent="0.25">
      <c r="A18" s="41">
        <v>1</v>
      </c>
      <c r="B18" s="41">
        <v>2</v>
      </c>
      <c r="C18" s="41">
        <v>3</v>
      </c>
      <c r="D18" s="41">
        <v>4</v>
      </c>
      <c r="E18" s="42">
        <v>5</v>
      </c>
    </row>
    <row r="19" spans="1:5" ht="16.8" x14ac:dyDescent="0.3">
      <c r="A19" s="90" t="str">
        <f>CONCATENATE("Локальная смета: ", Source!G20)</f>
        <v>Локальная смета: Новая локальная смета</v>
      </c>
      <c r="B19" s="90"/>
      <c r="C19" s="90"/>
      <c r="D19" s="90"/>
      <c r="E19" s="90"/>
    </row>
    <row r="20" spans="1:5" ht="27.6" x14ac:dyDescent="0.25">
      <c r="A20" s="47">
        <v>1</v>
      </c>
      <c r="B20" s="48" t="str">
        <f>Source!G24</f>
        <v>Разделка упавших деревьев вручную с переноской порубочных остатков - диаметром до 300 мм на расстояние 25 м</v>
      </c>
      <c r="C20" s="49" t="str">
        <f>Source!H24</f>
        <v>шт.</v>
      </c>
      <c r="D20" s="50">
        <f>Source!I24</f>
        <v>85</v>
      </c>
      <c r="E20" s="48"/>
    </row>
    <row r="21" spans="1:5" ht="27.6" x14ac:dyDescent="0.25">
      <c r="A21" s="47">
        <v>2</v>
      </c>
      <c r="B21" s="48" t="str">
        <f>Source!G25</f>
        <v>Разделка упавших деревьев вручную с переноской порубочных остатков - диаметром до 300 мм, добавлять на каждые 10 м переноски сверх 25 м</v>
      </c>
      <c r="C21" s="49" t="str">
        <f>Source!H25</f>
        <v>шт.</v>
      </c>
      <c r="D21" s="50">
        <f>Source!I25</f>
        <v>85</v>
      </c>
      <c r="E21" s="48"/>
    </row>
    <row r="22" spans="1:5" ht="27.6" x14ac:dyDescent="0.25">
      <c r="A22" s="47">
        <v>3</v>
      </c>
      <c r="B22" s="48" t="str">
        <f>Source!G26</f>
        <v>Разделка упавших деревьев вручную с переноской порубочных остатков - диаметром до 400 мм на расстояние 25 м</v>
      </c>
      <c r="C22" s="49" t="str">
        <f>Source!H26</f>
        <v>шт.</v>
      </c>
      <c r="D22" s="50">
        <f>Source!I26</f>
        <v>50</v>
      </c>
      <c r="E22" s="48"/>
    </row>
    <row r="23" spans="1:5" ht="27.6" x14ac:dyDescent="0.25">
      <c r="A23" s="47">
        <v>4</v>
      </c>
      <c r="B23" s="48" t="str">
        <f>Source!G27</f>
        <v>Разделка упавших деревьев вручную с переноской порубочных остатков - диаметром до 400 мм, добавлять на каждые 10 м переноски сверх 25 м</v>
      </c>
      <c r="C23" s="49" t="str">
        <f>Source!H27</f>
        <v>шт.</v>
      </c>
      <c r="D23" s="50">
        <f>Source!I27</f>
        <v>50</v>
      </c>
      <c r="E23" s="48"/>
    </row>
    <row r="24" spans="1:5" ht="27.6" x14ac:dyDescent="0.25">
      <c r="A24" s="47">
        <v>5</v>
      </c>
      <c r="B24" s="48" t="str">
        <f>Source!G28</f>
        <v>Санитарная обрезка деревьев мягких пород с использованием автовышки - диаметром до 0,5 м при количестве срезанных ветвей более 15</v>
      </c>
      <c r="C24" s="49" t="str">
        <f>Source!H28</f>
        <v>шт.</v>
      </c>
      <c r="D24" s="50">
        <f>Source!I28</f>
        <v>283</v>
      </c>
      <c r="E24" s="48"/>
    </row>
    <row r="25" spans="1:5" ht="13.8" x14ac:dyDescent="0.25">
      <c r="A25" s="47">
        <v>6</v>
      </c>
      <c r="B25" s="48" t="str">
        <f>Source!G29</f>
        <v>Измельчение ветвей, сучьев дробилкой - дерево диаметром до 200 мм</v>
      </c>
      <c r="C25" s="49" t="str">
        <f>Source!H29</f>
        <v>шт.</v>
      </c>
      <c r="D25" s="50">
        <f>Source!I29</f>
        <v>169</v>
      </c>
      <c r="E25" s="48"/>
    </row>
    <row r="26" spans="1:5" ht="13.8" x14ac:dyDescent="0.25">
      <c r="A26" s="47">
        <v>7</v>
      </c>
      <c r="B26" s="48" t="str">
        <f>Source!G30</f>
        <v>Измельчение ветвей, сучьев дробилкой - дерево диаметром до 300 мм</v>
      </c>
      <c r="C26" s="49" t="str">
        <f>Source!H30</f>
        <v>шт.</v>
      </c>
      <c r="D26" s="50">
        <f>Source!I30</f>
        <v>85</v>
      </c>
      <c r="E26" s="48"/>
    </row>
    <row r="27" spans="1:5" ht="13.8" x14ac:dyDescent="0.25">
      <c r="A27" s="47">
        <v>8</v>
      </c>
      <c r="B27" s="48" t="str">
        <f>Source!G31</f>
        <v>Измельчение ветвей, сучьев дробилкой - дерево диаметром до 400 мм</v>
      </c>
      <c r="C27" s="49" t="str">
        <f>Source!H31</f>
        <v>шт.</v>
      </c>
      <c r="D27" s="50">
        <f>Source!I31</f>
        <v>29</v>
      </c>
      <c r="E27" s="48"/>
    </row>
    <row r="28" spans="1:5" ht="27.6" x14ac:dyDescent="0.25">
      <c r="A28" s="47">
        <v>9</v>
      </c>
      <c r="B28" s="48" t="str">
        <f>Source!G32</f>
        <v>Погрузка вручную на автотранспорт порубочных остатков - обрезанные ветви</v>
      </c>
      <c r="C28" s="49" t="str">
        <f>Source!H32</f>
        <v>скл. м3</v>
      </c>
      <c r="D28" s="50">
        <f>Source!I32</f>
        <v>61.024700000000003</v>
      </c>
      <c r="E28" s="48"/>
    </row>
    <row r="29" spans="1:5" ht="27.6" x14ac:dyDescent="0.25">
      <c r="A29" s="47">
        <v>10</v>
      </c>
      <c r="B29" s="48" t="str">
        <f>Source!G33</f>
        <v>Погрузка вручную на автотранспорт порубочных остатков - после валки деревьев</v>
      </c>
      <c r="C29" s="49" t="str">
        <f>Source!H33</f>
        <v>скл. м3</v>
      </c>
      <c r="D29" s="50">
        <f>Source!I33</f>
        <v>120.8</v>
      </c>
      <c r="E29" s="48"/>
    </row>
    <row r="30" spans="1:5" ht="41.4" x14ac:dyDescent="0.25">
      <c r="A30" s="47">
        <v>11</v>
      </c>
      <c r="B30" s="48" t="str">
        <f>Source!G34</f>
        <v>Перевозка порубочных остатков после вырубки кустарников и обрезанных ветвей автосамосвалами грузоподъемностью до 15 т на расстояние 1 км - при механизированной погрузке</v>
      </c>
      <c r="C30" s="49" t="str">
        <f>Source!H34</f>
        <v>т</v>
      </c>
      <c r="D30" s="50">
        <f>Source!I34</f>
        <v>77.5</v>
      </c>
      <c r="E30" s="48"/>
    </row>
    <row r="31" spans="1:5" ht="27.6" x14ac:dyDescent="0.25">
      <c r="A31" s="43">
        <v>12</v>
      </c>
      <c r="B31" s="44" t="str">
        <f>Source!G35</f>
        <v>Перевозка порубочных остатков автосамосвалами грузоподъемностью до 15 т - добавляется на каждый последующий 1 км до 100 км</v>
      </c>
      <c r="C31" s="45" t="str">
        <f>Source!H35</f>
        <v>т</v>
      </c>
      <c r="D31" s="46">
        <f>Source!I35</f>
        <v>77.5</v>
      </c>
      <c r="E31" s="44"/>
    </row>
    <row r="34" spans="1:5" ht="13.8" x14ac:dyDescent="0.25">
      <c r="A34" s="29" t="s">
        <v>211</v>
      </c>
      <c r="B34" s="29"/>
      <c r="C34" s="29" t="s">
        <v>212</v>
      </c>
      <c r="D34" s="29"/>
      <c r="E34" s="29"/>
    </row>
  </sheetData>
  <mergeCells count="5">
    <mergeCell ref="C5:D5"/>
    <mergeCell ref="C7:D7"/>
    <mergeCell ref="A11:D11"/>
    <mergeCell ref="A12:D12"/>
    <mergeCell ref="A19:E19"/>
  </mergeCells>
  <pageMargins left="0.4" right="0.2" top="0.2" bottom="0.4" header="0.2" footer="0.2"/>
  <pageSetup paperSize="9" scale="76" fitToHeight="0" orientation="portrait" verticalDpi="0" r:id="rId1"/>
  <headerFooter>
    <oddHeader>&amp;L&amp;8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141"/>
  <sheetViews>
    <sheetView zoomScaleNormal="100" workbookViewId="0"/>
  </sheetViews>
  <sheetFormatPr defaultRowHeight="13.2" x14ac:dyDescent="0.25"/>
  <cols>
    <col min="1" max="2" width="5.88671875" customWidth="1"/>
    <col min="3" max="3" width="11.88671875" customWidth="1"/>
    <col min="4" max="4" width="40.88671875" customWidth="1"/>
    <col min="5" max="7" width="11.88671875" customWidth="1"/>
    <col min="8" max="8" width="12.88671875" customWidth="1"/>
    <col min="10" max="12" width="12.88671875" customWidth="1"/>
    <col min="15" max="36" width="0" hidden="1" customWidth="1"/>
  </cols>
  <sheetData>
    <row r="1" spans="1:12" x14ac:dyDescent="0.25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2" ht="13.8" x14ac:dyDescent="0.25">
      <c r="A2" s="10"/>
      <c r="B2" s="10"/>
      <c r="C2" s="29"/>
      <c r="D2" s="29"/>
      <c r="E2" s="29"/>
      <c r="F2" s="10"/>
      <c r="G2" s="10"/>
      <c r="H2" s="10"/>
      <c r="I2" s="108" t="s">
        <v>213</v>
      </c>
      <c r="J2" s="108"/>
      <c r="K2" s="108"/>
      <c r="L2" s="108"/>
    </row>
    <row r="3" spans="1:12" ht="13.8" x14ac:dyDescent="0.25">
      <c r="A3" s="10"/>
      <c r="B3" s="10"/>
      <c r="C3" s="10"/>
      <c r="D3" s="10"/>
      <c r="E3" s="10"/>
      <c r="F3" s="10"/>
      <c r="G3" s="10"/>
      <c r="H3" s="10"/>
      <c r="I3" s="108" t="s">
        <v>214</v>
      </c>
      <c r="J3" s="108"/>
      <c r="K3" s="108"/>
      <c r="L3" s="108"/>
    </row>
    <row r="4" spans="1:12" ht="13.8" x14ac:dyDescent="0.25">
      <c r="A4" s="10"/>
      <c r="B4" s="10"/>
      <c r="C4" s="10"/>
      <c r="D4" s="10"/>
      <c r="E4" s="10"/>
      <c r="F4" s="10"/>
      <c r="G4" s="10"/>
      <c r="H4" s="10"/>
      <c r="I4" s="108" t="s">
        <v>215</v>
      </c>
      <c r="J4" s="108"/>
      <c r="K4" s="108"/>
      <c r="L4" s="108"/>
    </row>
    <row r="5" spans="1:12" ht="13.8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13.8" x14ac:dyDescent="0.25">
      <c r="A6" s="10"/>
      <c r="B6" s="10"/>
      <c r="C6" s="10"/>
      <c r="D6" s="10"/>
      <c r="E6" s="10"/>
      <c r="F6" s="10"/>
      <c r="G6" s="10"/>
      <c r="H6" s="10"/>
      <c r="I6" s="10"/>
      <c r="J6" s="99" t="s">
        <v>216</v>
      </c>
      <c r="K6" s="99"/>
      <c r="L6" s="99"/>
    </row>
    <row r="7" spans="1:12" ht="13.8" x14ac:dyDescent="0.25">
      <c r="A7" s="10"/>
      <c r="B7" s="10"/>
      <c r="C7" s="10"/>
      <c r="D7" s="10"/>
      <c r="E7" s="10"/>
      <c r="F7" s="10"/>
      <c r="G7" s="10"/>
      <c r="H7" s="10"/>
      <c r="I7" s="9" t="s">
        <v>217</v>
      </c>
      <c r="J7" s="109" t="s">
        <v>218</v>
      </c>
      <c r="K7" s="109"/>
      <c r="L7" s="109"/>
    </row>
    <row r="8" spans="1:12" ht="13.8" x14ac:dyDescent="0.25">
      <c r="A8" s="10"/>
      <c r="B8" s="10"/>
      <c r="C8" s="10"/>
      <c r="D8" s="10"/>
      <c r="E8" s="10"/>
      <c r="F8" s="10"/>
      <c r="G8" s="10"/>
      <c r="H8" s="10"/>
      <c r="I8" s="10"/>
      <c r="J8" s="99" t="str">
        <f>IF(Source!AT15 &lt;&gt; "", Source!AT15, "")</f>
        <v/>
      </c>
      <c r="K8" s="99"/>
      <c r="L8" s="99"/>
    </row>
    <row r="9" spans="1:12" ht="13.8" x14ac:dyDescent="0.25">
      <c r="A9" s="10" t="s">
        <v>219</v>
      </c>
      <c r="B9" s="10"/>
      <c r="C9" s="107" t="str">
        <f>IF(Source!BA15 &lt;&gt; "", Source!BA15, IF(Source!AU15 &lt;&gt; "", Source!AU15, ""))</f>
        <v/>
      </c>
      <c r="D9" s="107"/>
      <c r="E9" s="107"/>
      <c r="F9" s="107"/>
      <c r="G9" s="107"/>
      <c r="H9" s="107"/>
      <c r="I9" s="9" t="s">
        <v>220</v>
      </c>
      <c r="J9" s="99"/>
      <c r="K9" s="99"/>
      <c r="L9" s="99"/>
    </row>
    <row r="10" spans="1:12" ht="13.8" x14ac:dyDescent="0.25">
      <c r="A10" s="10"/>
      <c r="B10" s="10"/>
      <c r="C10" s="67" t="s">
        <v>221</v>
      </c>
      <c r="D10" s="67"/>
      <c r="E10" s="67"/>
      <c r="F10" s="67"/>
      <c r="G10" s="67"/>
      <c r="H10" s="67"/>
      <c r="I10" s="10"/>
      <c r="J10" s="99" t="str">
        <f>IF(Source!AK15 &lt;&gt; "", Source!AK15, "")</f>
        <v/>
      </c>
      <c r="K10" s="99"/>
      <c r="L10" s="99"/>
    </row>
    <row r="11" spans="1:12" ht="13.8" x14ac:dyDescent="0.25">
      <c r="A11" s="10" t="s">
        <v>222</v>
      </c>
      <c r="B11" s="10"/>
      <c r="C11" s="107" t="str">
        <f>IF(Source!AX12&lt;&gt; "", Source!AX12, IF(Source!AJ12 &lt;&gt; "", Source!AJ12, ""))</f>
        <v/>
      </c>
      <c r="D11" s="107"/>
      <c r="E11" s="107"/>
      <c r="F11" s="107"/>
      <c r="G11" s="107"/>
      <c r="H11" s="107"/>
      <c r="I11" s="9" t="s">
        <v>220</v>
      </c>
      <c r="J11" s="99"/>
      <c r="K11" s="99"/>
      <c r="L11" s="99"/>
    </row>
    <row r="12" spans="1:12" ht="13.8" x14ac:dyDescent="0.25">
      <c r="A12" s="10"/>
      <c r="B12" s="10"/>
      <c r="C12" s="67" t="s">
        <v>221</v>
      </c>
      <c r="D12" s="67"/>
      <c r="E12" s="67"/>
      <c r="F12" s="67"/>
      <c r="G12" s="67"/>
      <c r="H12" s="67"/>
      <c r="I12" s="10"/>
      <c r="J12" s="99" t="str">
        <f>IF(Source!AO15 &lt;&gt; "", Source!AO15, "")</f>
        <v/>
      </c>
      <c r="K12" s="99"/>
      <c r="L12" s="99"/>
    </row>
    <row r="13" spans="1:12" ht="13.8" x14ac:dyDescent="0.25">
      <c r="A13" s="10" t="s">
        <v>223</v>
      </c>
      <c r="B13" s="10"/>
      <c r="C13" s="107" t="str">
        <f>IF(Source!AY12&lt;&gt; "", Source!AY12, IF(Source!AN12 &lt;&gt; "", Source!AN12, ""))</f>
        <v/>
      </c>
      <c r="D13" s="107"/>
      <c r="E13" s="107"/>
      <c r="F13" s="107"/>
      <c r="G13" s="107"/>
      <c r="H13" s="107"/>
      <c r="I13" s="9" t="s">
        <v>220</v>
      </c>
      <c r="J13" s="99"/>
      <c r="K13" s="99"/>
      <c r="L13" s="99"/>
    </row>
    <row r="14" spans="1:12" ht="13.8" x14ac:dyDescent="0.25">
      <c r="A14" s="10"/>
      <c r="B14" s="10"/>
      <c r="C14" s="67" t="s">
        <v>221</v>
      </c>
      <c r="D14" s="67"/>
      <c r="E14" s="67"/>
      <c r="F14" s="67"/>
      <c r="G14" s="67"/>
      <c r="H14" s="67"/>
      <c r="I14" s="10"/>
      <c r="J14" s="99" t="str">
        <f>IF(Source!CO15 &lt;&gt; "", Source!CO15, "")</f>
        <v/>
      </c>
      <c r="K14" s="99"/>
      <c r="L14" s="99"/>
    </row>
    <row r="15" spans="1:12" ht="13.8" x14ac:dyDescent="0.25">
      <c r="A15" s="10" t="s">
        <v>224</v>
      </c>
      <c r="B15" s="10"/>
      <c r="C15" s="107" t="s">
        <v>5</v>
      </c>
      <c r="D15" s="107"/>
      <c r="E15" s="107"/>
      <c r="F15" s="107"/>
      <c r="G15" s="107"/>
      <c r="H15" s="107"/>
      <c r="I15" s="10"/>
      <c r="J15" s="99"/>
      <c r="K15" s="99"/>
      <c r="L15" s="99"/>
    </row>
    <row r="16" spans="1:12" ht="13.8" x14ac:dyDescent="0.25">
      <c r="A16" s="10"/>
      <c r="B16" s="10"/>
      <c r="C16" s="67" t="s">
        <v>225</v>
      </c>
      <c r="D16" s="67"/>
      <c r="E16" s="67"/>
      <c r="F16" s="67"/>
      <c r="G16" s="67"/>
      <c r="H16" s="67"/>
      <c r="I16" s="10"/>
      <c r="J16" s="99" t="str">
        <f>IF(Source!CP15 &lt;&gt; "", Source!CP15, "")</f>
        <v/>
      </c>
      <c r="K16" s="99"/>
      <c r="L16" s="99"/>
    </row>
    <row r="17" spans="1:12" ht="13.8" x14ac:dyDescent="0.25">
      <c r="A17" s="10" t="s">
        <v>226</v>
      </c>
      <c r="B17" s="10"/>
      <c r="C17" s="86" t="str">
        <f>IF(Source!G12&lt;&gt;"Новый объект", Source!G12, "")</f>
        <v>Красная Пахра_(Копия)</v>
      </c>
      <c r="D17" s="86"/>
      <c r="E17" s="86"/>
      <c r="F17" s="86"/>
      <c r="G17" s="86"/>
      <c r="H17" s="86"/>
      <c r="I17" s="10"/>
      <c r="J17" s="99"/>
      <c r="K17" s="99"/>
      <c r="L17" s="99"/>
    </row>
    <row r="18" spans="1:12" ht="13.8" x14ac:dyDescent="0.25">
      <c r="A18" s="10"/>
      <c r="B18" s="10"/>
      <c r="C18" s="67" t="s">
        <v>227</v>
      </c>
      <c r="D18" s="67"/>
      <c r="E18" s="67"/>
      <c r="F18" s="67"/>
      <c r="G18" s="67"/>
      <c r="H18" s="67"/>
      <c r="I18" s="10"/>
      <c r="J18" s="10"/>
      <c r="K18" s="10"/>
      <c r="L18" s="10"/>
    </row>
    <row r="19" spans="1:12" ht="13.8" x14ac:dyDescent="0.25">
      <c r="A19" s="10"/>
      <c r="B19" s="10"/>
      <c r="C19" s="10"/>
      <c r="D19" s="10"/>
      <c r="E19" s="10"/>
      <c r="F19" s="10"/>
      <c r="G19" s="78" t="s">
        <v>228</v>
      </c>
      <c r="H19" s="78"/>
      <c r="I19" s="98"/>
      <c r="J19" s="99" t="str">
        <f>IF(Source!CQ15 &lt;&gt; "", Source!CQ15, "")</f>
        <v/>
      </c>
      <c r="K19" s="99"/>
      <c r="L19" s="99"/>
    </row>
    <row r="20" spans="1:12" ht="13.8" x14ac:dyDescent="0.25">
      <c r="A20" s="10"/>
      <c r="B20" s="10"/>
      <c r="C20" s="10"/>
      <c r="D20" s="10"/>
      <c r="E20" s="10"/>
      <c r="F20" s="10"/>
      <c r="G20" s="78" t="s">
        <v>229</v>
      </c>
      <c r="H20" s="100"/>
      <c r="I20" s="51" t="s">
        <v>230</v>
      </c>
      <c r="J20" s="99" t="str">
        <f>IF(Source!CR15 &lt;&gt; "", Source!CR15, "")</f>
        <v/>
      </c>
      <c r="K20" s="99"/>
      <c r="L20" s="99"/>
    </row>
    <row r="21" spans="1:12" ht="13.8" x14ac:dyDescent="0.25">
      <c r="A21" s="10"/>
      <c r="B21" s="10"/>
      <c r="C21" s="10"/>
      <c r="D21" s="10"/>
      <c r="E21" s="10"/>
      <c r="F21" s="10"/>
      <c r="G21" s="10"/>
      <c r="H21" s="10"/>
      <c r="I21" s="52" t="s">
        <v>231</v>
      </c>
      <c r="J21" s="101" t="str">
        <f>IF(Source!CS15 &lt;&gt; 0, Source!CS15, "")</f>
        <v/>
      </c>
      <c r="K21" s="101"/>
      <c r="L21" s="101"/>
    </row>
    <row r="22" spans="1:12" ht="13.8" x14ac:dyDescent="0.25">
      <c r="A22" s="10"/>
      <c r="B22" s="10"/>
      <c r="C22" s="10"/>
      <c r="D22" s="10"/>
      <c r="E22" s="10"/>
      <c r="F22" s="10"/>
      <c r="G22" s="10"/>
      <c r="H22" s="10"/>
      <c r="I22" s="9" t="s">
        <v>232</v>
      </c>
      <c r="J22" s="99" t="str">
        <f>IF(Source!CT15 &lt;&gt; "", Source!CT15, "")</f>
        <v/>
      </c>
      <c r="K22" s="99"/>
      <c r="L22" s="99"/>
    </row>
    <row r="23" spans="1:12" ht="13.8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3.8" x14ac:dyDescent="0.25">
      <c r="A24" s="10"/>
      <c r="B24" s="10"/>
      <c r="C24" s="10"/>
      <c r="D24" s="10"/>
      <c r="E24" s="10"/>
      <c r="F24" s="10"/>
      <c r="G24" s="102" t="s">
        <v>233</v>
      </c>
      <c r="H24" s="104" t="s">
        <v>234</v>
      </c>
      <c r="I24" s="104" t="s">
        <v>235</v>
      </c>
      <c r="J24" s="106"/>
      <c r="K24" s="10"/>
      <c r="L24" s="10"/>
    </row>
    <row r="25" spans="1:12" ht="13.8" x14ac:dyDescent="0.25">
      <c r="A25" s="10"/>
      <c r="B25" s="10"/>
      <c r="C25" s="10"/>
      <c r="D25" s="10"/>
      <c r="E25" s="10"/>
      <c r="F25" s="10"/>
      <c r="G25" s="103"/>
      <c r="H25" s="105"/>
      <c r="I25" s="53" t="s">
        <v>236</v>
      </c>
      <c r="J25" s="54" t="s">
        <v>237</v>
      </c>
      <c r="K25" s="10"/>
      <c r="L25" s="10"/>
    </row>
    <row r="26" spans="1:12" ht="13.8" x14ac:dyDescent="0.25">
      <c r="A26" s="10"/>
      <c r="B26" s="10"/>
      <c r="C26" s="10"/>
      <c r="D26" s="10"/>
      <c r="E26" s="10"/>
      <c r="F26" s="10"/>
      <c r="G26" s="52" t="str">
        <f>IF(Source!CN15 &lt;&gt; "", Source!CN15, "")</f>
        <v/>
      </c>
      <c r="H26" s="55" t="str">
        <f>IF(Source!CX15 &lt;&gt; 0, Source!CX15, "")</f>
        <v/>
      </c>
      <c r="I26" s="56" t="str">
        <f>IF(Source!CV15 &lt;&gt; 0, Source!CV15, "")</f>
        <v/>
      </c>
      <c r="J26" s="56" t="str">
        <f>IF(Source!CW15 &lt;&gt; 0, Source!CW15, "")</f>
        <v/>
      </c>
      <c r="K26" s="10"/>
      <c r="L26" s="10"/>
    </row>
    <row r="27" spans="1:12" ht="13.8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7.399999999999999" x14ac:dyDescent="0.3">
      <c r="A28" s="97" t="s">
        <v>238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</row>
    <row r="29" spans="1:12" ht="17.399999999999999" x14ac:dyDescent="0.3">
      <c r="A29" s="97" t="s">
        <v>239</v>
      </c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3.8" x14ac:dyDescent="0.2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3.8" x14ac:dyDescent="0.25">
      <c r="A31" s="10" t="s">
        <v>240</v>
      </c>
      <c r="B31" s="10"/>
      <c r="C31" s="10"/>
      <c r="D31" s="10"/>
      <c r="E31" s="10"/>
      <c r="F31" s="10"/>
      <c r="G31" s="10"/>
      <c r="H31" s="95">
        <f>ROUND((Source!F67/1000), 2)</f>
        <v>2547.5300000000002</v>
      </c>
      <c r="I31" s="95"/>
      <c r="J31" s="10" t="s">
        <v>241</v>
      </c>
      <c r="K31" s="10"/>
      <c r="L31" s="10"/>
    </row>
    <row r="32" spans="1:12" ht="13.8" x14ac:dyDescent="0.25">
      <c r="A32" s="10" t="s">
        <v>184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22" ht="14.4" x14ac:dyDescent="0.25">
      <c r="A33" s="96" t="s">
        <v>242</v>
      </c>
      <c r="B33" s="96"/>
      <c r="C33" s="75" t="s">
        <v>172</v>
      </c>
      <c r="D33" s="75" t="s">
        <v>173</v>
      </c>
      <c r="E33" s="75" t="s">
        <v>174</v>
      </c>
      <c r="F33" s="75" t="s">
        <v>175</v>
      </c>
      <c r="G33" s="75" t="s">
        <v>176</v>
      </c>
      <c r="H33" s="75" t="s">
        <v>177</v>
      </c>
      <c r="I33" s="75" t="s">
        <v>178</v>
      </c>
      <c r="J33" s="75" t="s">
        <v>179</v>
      </c>
      <c r="K33" s="75" t="s">
        <v>180</v>
      </c>
      <c r="L33" s="57" t="s">
        <v>181</v>
      </c>
    </row>
    <row r="34" spans="1:22" ht="27.6" x14ac:dyDescent="0.25">
      <c r="A34" s="93" t="s">
        <v>243</v>
      </c>
      <c r="B34" s="93" t="s">
        <v>244</v>
      </c>
      <c r="C34" s="76"/>
      <c r="D34" s="76"/>
      <c r="E34" s="76"/>
      <c r="F34" s="76"/>
      <c r="G34" s="76"/>
      <c r="H34" s="76"/>
      <c r="I34" s="76"/>
      <c r="J34" s="76"/>
      <c r="K34" s="76"/>
      <c r="L34" s="58" t="s">
        <v>182</v>
      </c>
    </row>
    <row r="35" spans="1:22" ht="27.6" x14ac:dyDescent="0.25">
      <c r="A35" s="93"/>
      <c r="B35" s="93"/>
      <c r="C35" s="76"/>
      <c r="D35" s="76"/>
      <c r="E35" s="76"/>
      <c r="F35" s="76"/>
      <c r="G35" s="76"/>
      <c r="H35" s="76"/>
      <c r="I35" s="76"/>
      <c r="J35" s="76"/>
      <c r="K35" s="76"/>
      <c r="L35" s="58" t="s">
        <v>183</v>
      </c>
    </row>
    <row r="36" spans="1:22" ht="13.8" x14ac:dyDescent="0.25">
      <c r="A36" s="19">
        <v>1</v>
      </c>
      <c r="B36" s="19">
        <v>2</v>
      </c>
      <c r="C36" s="19">
        <v>3</v>
      </c>
      <c r="D36" s="19">
        <v>4</v>
      </c>
      <c r="E36" s="19">
        <v>5</v>
      </c>
      <c r="F36" s="19">
        <v>6</v>
      </c>
      <c r="G36" s="19">
        <v>7</v>
      </c>
      <c r="H36" s="19">
        <v>8</v>
      </c>
      <c r="I36" s="19">
        <v>9</v>
      </c>
      <c r="J36" s="19">
        <v>10</v>
      </c>
      <c r="K36" s="19">
        <v>11</v>
      </c>
      <c r="L36" s="19">
        <v>12</v>
      </c>
    </row>
    <row r="38" spans="1:22" ht="16.8" x14ac:dyDescent="0.3">
      <c r="A38" s="94" t="str">
        <f>CONCATENATE("Локальная смета: ",IF(Source!G20&lt;&gt;"Новая локальная смета", Source!G20, ""))</f>
        <v xml:space="preserve">Локальная смета: </v>
      </c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</row>
    <row r="39" spans="1:22" ht="55.2" x14ac:dyDescent="0.3">
      <c r="A39" s="20">
        <v>1</v>
      </c>
      <c r="B39" s="20">
        <v>1</v>
      </c>
      <c r="C39" s="20" t="str">
        <f>Source!F24</f>
        <v>5.4-3104-14-3/1</v>
      </c>
      <c r="D39" s="20" t="str">
        <f>Source!G24</f>
        <v>Разделка упавших деревьев вручную с переноской порубочных остатков - диаметром до 300 мм на расстояние 25 м</v>
      </c>
      <c r="E39" s="21" t="str">
        <f>Source!H24</f>
        <v>шт.</v>
      </c>
      <c r="F39" s="9">
        <f>Source!I24</f>
        <v>85</v>
      </c>
      <c r="G39" s="23"/>
      <c r="H39" s="22"/>
      <c r="I39" s="9"/>
      <c r="J39" s="9"/>
      <c r="K39" s="23"/>
      <c r="L39" s="23"/>
      <c r="Q39">
        <f>ROUND((Source!BZ24/100)*ROUND((Source!AF24*Source!AV24)*Source!I24, 2), 2)</f>
        <v>52176.74</v>
      </c>
      <c r="R39">
        <f>Source!X24</f>
        <v>52176.74</v>
      </c>
      <c r="S39">
        <f>ROUND((Source!CA24/100)*ROUND((Source!AF24*Source!AV24)*Source!I24, 2), 2)</f>
        <v>7453.82</v>
      </c>
      <c r="T39">
        <f>Source!Y24</f>
        <v>7453.82</v>
      </c>
      <c r="U39">
        <f>ROUND((175/100)*ROUND((Source!AE24*Source!AV24)*Source!I24, 2), 2)</f>
        <v>19.34</v>
      </c>
      <c r="V39">
        <f>ROUND((108/100)*ROUND(Source!CS24*Source!I24, 2), 2)</f>
        <v>11.93</v>
      </c>
    </row>
    <row r="40" spans="1:22" ht="14.4" x14ac:dyDescent="0.3">
      <c r="A40" s="20"/>
      <c r="B40" s="20"/>
      <c r="C40" s="20"/>
      <c r="D40" s="20" t="s">
        <v>185</v>
      </c>
      <c r="E40" s="21"/>
      <c r="F40" s="9"/>
      <c r="G40" s="23">
        <f>Source!AO24</f>
        <v>876.92</v>
      </c>
      <c r="H40" s="22" t="str">
        <f>Source!DG24</f>
        <v/>
      </c>
      <c r="I40" s="9">
        <f>Source!AV24</f>
        <v>1</v>
      </c>
      <c r="J40" s="9">
        <f>IF(Source!BA24&lt;&gt; 0, Source!BA24, 1)</f>
        <v>1</v>
      </c>
      <c r="K40" s="23">
        <f>Source!S24</f>
        <v>74538.2</v>
      </c>
      <c r="L40" s="23"/>
    </row>
    <row r="41" spans="1:22" ht="14.4" x14ac:dyDescent="0.3">
      <c r="A41" s="20"/>
      <c r="B41" s="20"/>
      <c r="C41" s="20"/>
      <c r="D41" s="20" t="s">
        <v>186</v>
      </c>
      <c r="E41" s="21"/>
      <c r="F41" s="9"/>
      <c r="G41" s="23">
        <f>Source!AM24</f>
        <v>50.81</v>
      </c>
      <c r="H41" s="22" t="str">
        <f>Source!DE24</f>
        <v/>
      </c>
      <c r="I41" s="9">
        <f>Source!AV24</f>
        <v>1</v>
      </c>
      <c r="J41" s="9">
        <f>IF(Source!BB24&lt;&gt; 0, Source!BB24, 1)</f>
        <v>1</v>
      </c>
      <c r="K41" s="23">
        <f>Source!Q24</f>
        <v>4318.8500000000004</v>
      </c>
      <c r="L41" s="23"/>
    </row>
    <row r="42" spans="1:22" ht="14.4" x14ac:dyDescent="0.3">
      <c r="A42" s="20"/>
      <c r="B42" s="20"/>
      <c r="C42" s="20"/>
      <c r="D42" s="20" t="s">
        <v>187</v>
      </c>
      <c r="E42" s="21"/>
      <c r="F42" s="9"/>
      <c r="G42" s="23">
        <f>Source!AN24</f>
        <v>0.13</v>
      </c>
      <c r="H42" s="22" t="str">
        <f>Source!DF24</f>
        <v/>
      </c>
      <c r="I42" s="9">
        <f>Source!AV24</f>
        <v>1</v>
      </c>
      <c r="J42" s="9">
        <f>IF(Source!BS24&lt;&gt; 0, Source!BS24, 1)</f>
        <v>1</v>
      </c>
      <c r="K42" s="24">
        <f>Source!R24</f>
        <v>11.05</v>
      </c>
      <c r="L42" s="23"/>
    </row>
    <row r="43" spans="1:22" ht="14.4" x14ac:dyDescent="0.3">
      <c r="A43" s="20"/>
      <c r="B43" s="20"/>
      <c r="C43" s="20"/>
      <c r="D43" s="20" t="s">
        <v>188</v>
      </c>
      <c r="E43" s="21" t="s">
        <v>189</v>
      </c>
      <c r="F43" s="9">
        <f>Source!AT24</f>
        <v>70</v>
      </c>
      <c r="G43" s="23"/>
      <c r="H43" s="22"/>
      <c r="I43" s="9"/>
      <c r="J43" s="9"/>
      <c r="K43" s="23">
        <f>SUM(R39:R42)</f>
        <v>52176.74</v>
      </c>
      <c r="L43" s="23"/>
    </row>
    <row r="44" spans="1:22" ht="14.4" x14ac:dyDescent="0.3">
      <c r="A44" s="20"/>
      <c r="B44" s="20"/>
      <c r="C44" s="20"/>
      <c r="D44" s="20" t="s">
        <v>190</v>
      </c>
      <c r="E44" s="21" t="s">
        <v>189</v>
      </c>
      <c r="F44" s="9">
        <f>Source!AU24</f>
        <v>10</v>
      </c>
      <c r="G44" s="23"/>
      <c r="H44" s="22"/>
      <c r="I44" s="9"/>
      <c r="J44" s="9"/>
      <c r="K44" s="23">
        <f>SUM(T39:T43)</f>
        <v>7453.82</v>
      </c>
      <c r="L44" s="23"/>
    </row>
    <row r="45" spans="1:22" ht="14.4" x14ac:dyDescent="0.3">
      <c r="A45" s="20"/>
      <c r="B45" s="20"/>
      <c r="C45" s="20"/>
      <c r="D45" s="20" t="s">
        <v>191</v>
      </c>
      <c r="E45" s="21" t="s">
        <v>189</v>
      </c>
      <c r="F45" s="9">
        <f>108</f>
        <v>108</v>
      </c>
      <c r="G45" s="23"/>
      <c r="H45" s="22"/>
      <c r="I45" s="9"/>
      <c r="J45" s="9"/>
      <c r="K45" s="23">
        <f>SUM(V39:V44)</f>
        <v>11.93</v>
      </c>
      <c r="L45" s="23"/>
    </row>
    <row r="46" spans="1:22" ht="14.4" x14ac:dyDescent="0.3">
      <c r="A46" s="20"/>
      <c r="B46" s="20"/>
      <c r="C46" s="20"/>
      <c r="D46" s="20" t="s">
        <v>192</v>
      </c>
      <c r="E46" s="21" t="s">
        <v>193</v>
      </c>
      <c r="F46" s="9">
        <f>Source!AQ24</f>
        <v>1.81</v>
      </c>
      <c r="G46" s="23"/>
      <c r="H46" s="22" t="str">
        <f>Source!DI24</f>
        <v/>
      </c>
      <c r="I46" s="9">
        <f>Source!AV24</f>
        <v>1</v>
      </c>
      <c r="J46" s="9"/>
      <c r="K46" s="23"/>
      <c r="L46" s="23">
        <f>Source!U24</f>
        <v>153.85</v>
      </c>
    </row>
    <row r="47" spans="1:22" ht="13.8" x14ac:dyDescent="0.25">
      <c r="A47" s="27"/>
      <c r="B47" s="27"/>
      <c r="C47" s="27"/>
      <c r="D47" s="27"/>
      <c r="E47" s="27"/>
      <c r="F47" s="27"/>
      <c r="G47" s="27"/>
      <c r="H47" s="27"/>
      <c r="I47" s="27"/>
      <c r="J47" s="74">
        <f>K40+K41+K43+K44+K45</f>
        <v>138499.54</v>
      </c>
      <c r="K47" s="74"/>
      <c r="L47" s="28">
        <f>IF(Source!I24&lt;&gt;0, ROUND(J47/Source!I24, 2), 0)</f>
        <v>1629.41</v>
      </c>
      <c r="P47" s="25">
        <f>J47</f>
        <v>138499.54</v>
      </c>
    </row>
    <row r="48" spans="1:22" ht="55.2" x14ac:dyDescent="0.3">
      <c r="A48" s="20">
        <v>2</v>
      </c>
      <c r="B48" s="20">
        <v>2</v>
      </c>
      <c r="C48" s="20" t="str">
        <f>Source!F25</f>
        <v>5.4-3104-15-3/1</v>
      </c>
      <c r="D48" s="20" t="str">
        <f>Source!G25</f>
        <v>Разделка упавших деревьев вручную с переноской порубочных остатков - диаметром до 300 мм, добавлять на каждые 10 м переноски сверх 25 м</v>
      </c>
      <c r="E48" s="21" t="str">
        <f>Source!H25</f>
        <v>шт.</v>
      </c>
      <c r="F48" s="9">
        <f>Source!I25</f>
        <v>85</v>
      </c>
      <c r="G48" s="23"/>
      <c r="H48" s="22"/>
      <c r="I48" s="9"/>
      <c r="J48" s="9"/>
      <c r="K48" s="23"/>
      <c r="L48" s="23"/>
      <c r="Q48">
        <f>ROUND((Source!BZ25/100)*ROUND((Source!AF25*Source!AV25)*Source!I25, 2), 2)</f>
        <v>23833.32</v>
      </c>
      <c r="R48">
        <f>Source!X25</f>
        <v>23833.32</v>
      </c>
      <c r="S48">
        <f>ROUND((Source!CA25/100)*ROUND((Source!AF25*Source!AV25)*Source!I25, 2), 2)</f>
        <v>3404.76</v>
      </c>
      <c r="T48">
        <f>Source!Y25</f>
        <v>3404.76</v>
      </c>
      <c r="U48">
        <f>ROUND((175/100)*ROUND((Source!AE25*Source!AV25)*Source!I25, 2), 2)</f>
        <v>0</v>
      </c>
      <c r="V48">
        <f>ROUND((108/100)*ROUND(Source!CS25*Source!I25, 2), 2)</f>
        <v>0</v>
      </c>
    </row>
    <row r="49" spans="1:22" ht="14.4" x14ac:dyDescent="0.3">
      <c r="A49" s="20"/>
      <c r="B49" s="20"/>
      <c r="C49" s="20"/>
      <c r="D49" s="20" t="s">
        <v>185</v>
      </c>
      <c r="E49" s="21"/>
      <c r="F49" s="9"/>
      <c r="G49" s="23">
        <f>Source!AO25</f>
        <v>200.28</v>
      </c>
      <c r="H49" s="22" t="str">
        <f>Source!DG25</f>
        <v>)*2</v>
      </c>
      <c r="I49" s="9">
        <f>Source!AV25</f>
        <v>1</v>
      </c>
      <c r="J49" s="9">
        <f>IF(Source!BA25&lt;&gt; 0, Source!BA25, 1)</f>
        <v>1</v>
      </c>
      <c r="K49" s="23">
        <f>Source!S25</f>
        <v>34047.599999999999</v>
      </c>
      <c r="L49" s="23"/>
    </row>
    <row r="50" spans="1:22" ht="14.4" x14ac:dyDescent="0.3">
      <c r="A50" s="20"/>
      <c r="B50" s="20"/>
      <c r="C50" s="20"/>
      <c r="D50" s="20" t="s">
        <v>188</v>
      </c>
      <c r="E50" s="21" t="s">
        <v>189</v>
      </c>
      <c r="F50" s="9">
        <f>Source!AT25</f>
        <v>70</v>
      </c>
      <c r="G50" s="23"/>
      <c r="H50" s="22"/>
      <c r="I50" s="9"/>
      <c r="J50" s="9"/>
      <c r="K50" s="23">
        <f>SUM(R48:R49)</f>
        <v>23833.32</v>
      </c>
      <c r="L50" s="23"/>
    </row>
    <row r="51" spans="1:22" ht="14.4" x14ac:dyDescent="0.3">
      <c r="A51" s="20"/>
      <c r="B51" s="20"/>
      <c r="C51" s="20"/>
      <c r="D51" s="20" t="s">
        <v>190</v>
      </c>
      <c r="E51" s="21" t="s">
        <v>189</v>
      </c>
      <c r="F51" s="9">
        <f>Source!AU25</f>
        <v>10</v>
      </c>
      <c r="G51" s="23"/>
      <c r="H51" s="22"/>
      <c r="I51" s="9"/>
      <c r="J51" s="9"/>
      <c r="K51" s="23">
        <f>SUM(T48:T50)</f>
        <v>3404.76</v>
      </c>
      <c r="L51" s="23"/>
    </row>
    <row r="52" spans="1:22" ht="14.4" x14ac:dyDescent="0.3">
      <c r="A52" s="20"/>
      <c r="B52" s="20"/>
      <c r="C52" s="20"/>
      <c r="D52" s="20" t="s">
        <v>192</v>
      </c>
      <c r="E52" s="21" t="s">
        <v>193</v>
      </c>
      <c r="F52" s="9">
        <f>Source!AQ25</f>
        <v>0.46</v>
      </c>
      <c r="G52" s="23"/>
      <c r="H52" s="22" t="str">
        <f>Source!DI25</f>
        <v>)*2</v>
      </c>
      <c r="I52" s="9">
        <f>Source!AV25</f>
        <v>1</v>
      </c>
      <c r="J52" s="9"/>
      <c r="K52" s="23"/>
      <c r="L52" s="23">
        <f>Source!U25</f>
        <v>78.2</v>
      </c>
    </row>
    <row r="53" spans="1:22" ht="13.8" x14ac:dyDescent="0.25">
      <c r="A53" s="27"/>
      <c r="B53" s="27"/>
      <c r="C53" s="27"/>
      <c r="D53" s="27"/>
      <c r="E53" s="27"/>
      <c r="F53" s="27"/>
      <c r="G53" s="27"/>
      <c r="H53" s="27"/>
      <c r="I53" s="27"/>
      <c r="J53" s="74">
        <f>K49+K50+K51</f>
        <v>61285.68</v>
      </c>
      <c r="K53" s="74"/>
      <c r="L53" s="28">
        <f>IF(Source!I25&lt;&gt;0, ROUND(J53/Source!I25, 2), 0)</f>
        <v>721.01</v>
      </c>
      <c r="P53" s="25">
        <f>J53</f>
        <v>61285.68</v>
      </c>
    </row>
    <row r="54" spans="1:22" ht="55.2" x14ac:dyDescent="0.3">
      <c r="A54" s="20">
        <v>3</v>
      </c>
      <c r="B54" s="20">
        <v>3</v>
      </c>
      <c r="C54" s="20" t="str">
        <f>Source!F26</f>
        <v>5.4-3104-14-4/1</v>
      </c>
      <c r="D54" s="20" t="str">
        <f>Source!G26</f>
        <v>Разделка упавших деревьев вручную с переноской порубочных остатков - диаметром до 400 мм на расстояние 25 м</v>
      </c>
      <c r="E54" s="21" t="str">
        <f>Source!H26</f>
        <v>шт.</v>
      </c>
      <c r="F54" s="9">
        <f>Source!I26</f>
        <v>50</v>
      </c>
      <c r="G54" s="23"/>
      <c r="H54" s="22"/>
      <c r="I54" s="9"/>
      <c r="J54" s="9"/>
      <c r="K54" s="23"/>
      <c r="L54" s="23"/>
      <c r="Q54">
        <f>ROUND((Source!BZ26/100)*ROUND((Source!AF26*Source!AV26)*Source!I26, 2), 2)</f>
        <v>45885</v>
      </c>
      <c r="R54">
        <f>Source!X26</f>
        <v>45885</v>
      </c>
      <c r="S54">
        <f>ROUND((Source!CA26/100)*ROUND((Source!AF26*Source!AV26)*Source!I26, 2), 2)</f>
        <v>6555</v>
      </c>
      <c r="T54">
        <f>Source!Y26</f>
        <v>6555</v>
      </c>
      <c r="U54">
        <f>ROUND((175/100)*ROUND((Source!AE26*Source!AV26)*Source!I26, 2), 2)</f>
        <v>15.75</v>
      </c>
      <c r="V54">
        <f>ROUND((108/100)*ROUND(Source!CS26*Source!I26, 2), 2)</f>
        <v>9.7200000000000006</v>
      </c>
    </row>
    <row r="55" spans="1:22" ht="14.4" x14ac:dyDescent="0.3">
      <c r="A55" s="20"/>
      <c r="B55" s="20"/>
      <c r="C55" s="20"/>
      <c r="D55" s="20" t="s">
        <v>185</v>
      </c>
      <c r="E55" s="21"/>
      <c r="F55" s="9"/>
      <c r="G55" s="23">
        <f>Source!AO26</f>
        <v>1311</v>
      </c>
      <c r="H55" s="22" t="str">
        <f>Source!DG26</f>
        <v/>
      </c>
      <c r="I55" s="9">
        <f>Source!AV26</f>
        <v>1</v>
      </c>
      <c r="J55" s="9">
        <f>IF(Source!BA26&lt;&gt; 0, Source!BA26, 1)</f>
        <v>1</v>
      </c>
      <c r="K55" s="23">
        <f>Source!S26</f>
        <v>65550</v>
      </c>
      <c r="L55" s="23"/>
    </row>
    <row r="56" spans="1:22" ht="14.4" x14ac:dyDescent="0.3">
      <c r="A56" s="20"/>
      <c r="B56" s="20"/>
      <c r="C56" s="20"/>
      <c r="D56" s="20" t="s">
        <v>186</v>
      </c>
      <c r="E56" s="21"/>
      <c r="F56" s="9"/>
      <c r="G56" s="23">
        <f>Source!AM26</f>
        <v>69.86</v>
      </c>
      <c r="H56" s="22" t="str">
        <f>Source!DE26</f>
        <v/>
      </c>
      <c r="I56" s="9">
        <f>Source!AV26</f>
        <v>1</v>
      </c>
      <c r="J56" s="9">
        <f>IF(Source!BB26&lt;&gt; 0, Source!BB26, 1)</f>
        <v>1</v>
      </c>
      <c r="K56" s="23">
        <f>Source!Q26</f>
        <v>3493</v>
      </c>
      <c r="L56" s="23"/>
    </row>
    <row r="57" spans="1:22" ht="14.4" x14ac:dyDescent="0.3">
      <c r="A57" s="20"/>
      <c r="B57" s="20"/>
      <c r="C57" s="20"/>
      <c r="D57" s="20" t="s">
        <v>187</v>
      </c>
      <c r="E57" s="21"/>
      <c r="F57" s="9"/>
      <c r="G57" s="23">
        <f>Source!AN26</f>
        <v>0.18</v>
      </c>
      <c r="H57" s="22" t="str">
        <f>Source!DF26</f>
        <v/>
      </c>
      <c r="I57" s="9">
        <f>Source!AV26</f>
        <v>1</v>
      </c>
      <c r="J57" s="9">
        <f>IF(Source!BS26&lt;&gt; 0, Source!BS26, 1)</f>
        <v>1</v>
      </c>
      <c r="K57" s="24">
        <f>Source!R26</f>
        <v>9</v>
      </c>
      <c r="L57" s="23"/>
    </row>
    <row r="58" spans="1:22" ht="14.4" x14ac:dyDescent="0.3">
      <c r="A58" s="20"/>
      <c r="B58" s="20"/>
      <c r="C58" s="20"/>
      <c r="D58" s="20" t="s">
        <v>188</v>
      </c>
      <c r="E58" s="21" t="s">
        <v>189</v>
      </c>
      <c r="F58" s="9">
        <f>Source!AT26</f>
        <v>70</v>
      </c>
      <c r="G58" s="23"/>
      <c r="H58" s="22"/>
      <c r="I58" s="9"/>
      <c r="J58" s="9"/>
      <c r="K58" s="23">
        <f>SUM(R54:R57)</f>
        <v>45885</v>
      </c>
      <c r="L58" s="23"/>
    </row>
    <row r="59" spans="1:22" ht="14.4" x14ac:dyDescent="0.3">
      <c r="A59" s="20"/>
      <c r="B59" s="20"/>
      <c r="C59" s="20"/>
      <c r="D59" s="20" t="s">
        <v>190</v>
      </c>
      <c r="E59" s="21" t="s">
        <v>189</v>
      </c>
      <c r="F59" s="9">
        <f>Source!AU26</f>
        <v>10</v>
      </c>
      <c r="G59" s="23"/>
      <c r="H59" s="22"/>
      <c r="I59" s="9"/>
      <c r="J59" s="9"/>
      <c r="K59" s="23">
        <f>SUM(T54:T58)</f>
        <v>6555</v>
      </c>
      <c r="L59" s="23"/>
    </row>
    <row r="60" spans="1:22" ht="14.4" x14ac:dyDescent="0.3">
      <c r="A60" s="20"/>
      <c r="B60" s="20"/>
      <c r="C60" s="20"/>
      <c r="D60" s="20" t="s">
        <v>191</v>
      </c>
      <c r="E60" s="21" t="s">
        <v>189</v>
      </c>
      <c r="F60" s="9">
        <f>108</f>
        <v>108</v>
      </c>
      <c r="G60" s="23"/>
      <c r="H60" s="22"/>
      <c r="I60" s="9"/>
      <c r="J60" s="9"/>
      <c r="K60" s="23">
        <f>SUM(V54:V59)</f>
        <v>9.7200000000000006</v>
      </c>
      <c r="L60" s="23"/>
    </row>
    <row r="61" spans="1:22" ht="14.4" x14ac:dyDescent="0.3">
      <c r="A61" s="20"/>
      <c r="B61" s="20"/>
      <c r="C61" s="20"/>
      <c r="D61" s="20" t="s">
        <v>192</v>
      </c>
      <c r="E61" s="21" t="s">
        <v>193</v>
      </c>
      <c r="F61" s="9">
        <f>Source!AQ26</f>
        <v>2.64</v>
      </c>
      <c r="G61" s="23"/>
      <c r="H61" s="22" t="str">
        <f>Source!DI26</f>
        <v/>
      </c>
      <c r="I61" s="9">
        <f>Source!AV26</f>
        <v>1</v>
      </c>
      <c r="J61" s="9"/>
      <c r="K61" s="23"/>
      <c r="L61" s="23">
        <f>Source!U26</f>
        <v>132</v>
      </c>
    </row>
    <row r="62" spans="1:22" ht="13.8" x14ac:dyDescent="0.25">
      <c r="A62" s="27"/>
      <c r="B62" s="27"/>
      <c r="C62" s="27"/>
      <c r="D62" s="27"/>
      <c r="E62" s="27"/>
      <c r="F62" s="27"/>
      <c r="G62" s="27"/>
      <c r="H62" s="27"/>
      <c r="I62" s="27"/>
      <c r="J62" s="74">
        <f>K55+K56+K58+K59+K60</f>
        <v>121492.72</v>
      </c>
      <c r="K62" s="74"/>
      <c r="L62" s="28">
        <f>IF(Source!I26&lt;&gt;0, ROUND(J62/Source!I26, 2), 0)</f>
        <v>2429.85</v>
      </c>
      <c r="P62" s="25">
        <f>J62</f>
        <v>121492.72</v>
      </c>
    </row>
    <row r="63" spans="1:22" ht="55.2" x14ac:dyDescent="0.3">
      <c r="A63" s="20">
        <v>4</v>
      </c>
      <c r="B63" s="20">
        <v>4</v>
      </c>
      <c r="C63" s="20" t="str">
        <f>Source!F27</f>
        <v>5.4-3104-15-4/1</v>
      </c>
      <c r="D63" s="20" t="str">
        <f>Source!G27</f>
        <v>Разделка упавших деревьев вручную с переноской порубочных остатков - диаметром до 400 мм, добавлять на каждые 10 м переноски сверх 25 м</v>
      </c>
      <c r="E63" s="21" t="str">
        <f>Source!H27</f>
        <v>шт.</v>
      </c>
      <c r="F63" s="9">
        <f>Source!I27</f>
        <v>50</v>
      </c>
      <c r="G63" s="23"/>
      <c r="H63" s="22"/>
      <c r="I63" s="9"/>
      <c r="J63" s="9"/>
      <c r="K63" s="23"/>
      <c r="L63" s="23"/>
      <c r="Q63">
        <f>ROUND((Source!BZ27/100)*ROUND((Source!AF27*Source!AV27)*Source!I27, 2), 2)</f>
        <v>17677.099999999999</v>
      </c>
      <c r="R63">
        <f>Source!X27</f>
        <v>17677.099999999999</v>
      </c>
      <c r="S63">
        <f>ROUND((Source!CA27/100)*ROUND((Source!AF27*Source!AV27)*Source!I27, 2), 2)</f>
        <v>2525.3000000000002</v>
      </c>
      <c r="T63">
        <f>Source!Y27</f>
        <v>2525.3000000000002</v>
      </c>
      <c r="U63">
        <f>ROUND((175/100)*ROUND((Source!AE27*Source!AV27)*Source!I27, 2), 2)</f>
        <v>0</v>
      </c>
      <c r="V63">
        <f>ROUND((108/100)*ROUND(Source!CS27*Source!I27, 2), 2)</f>
        <v>0</v>
      </c>
    </row>
    <row r="64" spans="1:22" ht="14.4" x14ac:dyDescent="0.3">
      <c r="A64" s="20"/>
      <c r="B64" s="20"/>
      <c r="C64" s="20"/>
      <c r="D64" s="20" t="s">
        <v>185</v>
      </c>
      <c r="E64" s="21"/>
      <c r="F64" s="9"/>
      <c r="G64" s="23">
        <f>Source!AO27</f>
        <v>252.53</v>
      </c>
      <c r="H64" s="22" t="str">
        <f>Source!DG27</f>
        <v>)*2</v>
      </c>
      <c r="I64" s="9">
        <f>Source!AV27</f>
        <v>1</v>
      </c>
      <c r="J64" s="9">
        <f>IF(Source!BA27&lt;&gt; 0, Source!BA27, 1)</f>
        <v>1</v>
      </c>
      <c r="K64" s="23">
        <f>Source!S27</f>
        <v>25253</v>
      </c>
      <c r="L64" s="23"/>
    </row>
    <row r="65" spans="1:22" ht="14.4" x14ac:dyDescent="0.3">
      <c r="A65" s="20"/>
      <c r="B65" s="20"/>
      <c r="C65" s="20"/>
      <c r="D65" s="20" t="s">
        <v>188</v>
      </c>
      <c r="E65" s="21" t="s">
        <v>189</v>
      </c>
      <c r="F65" s="9">
        <f>Source!AT27</f>
        <v>70</v>
      </c>
      <c r="G65" s="23"/>
      <c r="H65" s="22"/>
      <c r="I65" s="9"/>
      <c r="J65" s="9"/>
      <c r="K65" s="23">
        <f>SUM(R63:R64)</f>
        <v>17677.099999999999</v>
      </c>
      <c r="L65" s="23"/>
    </row>
    <row r="66" spans="1:22" ht="14.4" x14ac:dyDescent="0.3">
      <c r="A66" s="20"/>
      <c r="B66" s="20"/>
      <c r="C66" s="20"/>
      <c r="D66" s="20" t="s">
        <v>190</v>
      </c>
      <c r="E66" s="21" t="s">
        <v>189</v>
      </c>
      <c r="F66" s="9">
        <f>Source!AU27</f>
        <v>10</v>
      </c>
      <c r="G66" s="23"/>
      <c r="H66" s="22"/>
      <c r="I66" s="9"/>
      <c r="J66" s="9"/>
      <c r="K66" s="23">
        <f>SUM(T63:T65)</f>
        <v>2525.3000000000002</v>
      </c>
      <c r="L66" s="23"/>
    </row>
    <row r="67" spans="1:22" ht="14.4" x14ac:dyDescent="0.3">
      <c r="A67" s="20"/>
      <c r="B67" s="20"/>
      <c r="C67" s="20"/>
      <c r="D67" s="20" t="s">
        <v>192</v>
      </c>
      <c r="E67" s="21" t="s">
        <v>193</v>
      </c>
      <c r="F67" s="9">
        <f>Source!AQ27</f>
        <v>0.57999999999999996</v>
      </c>
      <c r="G67" s="23"/>
      <c r="H67" s="22" t="str">
        <f>Source!DI27</f>
        <v>)*2</v>
      </c>
      <c r="I67" s="9">
        <f>Source!AV27</f>
        <v>1</v>
      </c>
      <c r="J67" s="9"/>
      <c r="K67" s="23"/>
      <c r="L67" s="23">
        <f>Source!U27</f>
        <v>57.999999999999993</v>
      </c>
    </row>
    <row r="68" spans="1:22" ht="13.8" x14ac:dyDescent="0.25">
      <c r="A68" s="27"/>
      <c r="B68" s="27"/>
      <c r="C68" s="27"/>
      <c r="D68" s="27"/>
      <c r="E68" s="27"/>
      <c r="F68" s="27"/>
      <c r="G68" s="27"/>
      <c r="H68" s="27"/>
      <c r="I68" s="27"/>
      <c r="J68" s="74">
        <f>K64+K65+K66</f>
        <v>45455.4</v>
      </c>
      <c r="K68" s="74"/>
      <c r="L68" s="28">
        <f>IF(Source!I27&lt;&gt;0, ROUND(J68/Source!I27, 2), 0)</f>
        <v>909.11</v>
      </c>
      <c r="P68" s="25">
        <f>J68</f>
        <v>45455.4</v>
      </c>
    </row>
    <row r="69" spans="1:22" ht="55.2" x14ac:dyDescent="0.3">
      <c r="A69" s="20">
        <v>5</v>
      </c>
      <c r="B69" s="20">
        <v>5</v>
      </c>
      <c r="C69" s="20" t="str">
        <f>Source!F28</f>
        <v>5.4-3101-7-2/1</v>
      </c>
      <c r="D69" s="20" t="str">
        <f>Source!G28</f>
        <v>Санитарная обрезка деревьев мягких пород с использованием автовышки - диаметром до 0,5 м при количестве срезанных ветвей более 15</v>
      </c>
      <c r="E69" s="21" t="str">
        <f>Source!H28</f>
        <v>шт.</v>
      </c>
      <c r="F69" s="9">
        <f>Source!I28</f>
        <v>283</v>
      </c>
      <c r="G69" s="23"/>
      <c r="H69" s="22"/>
      <c r="I69" s="9"/>
      <c r="J69" s="9"/>
      <c r="K69" s="23"/>
      <c r="L69" s="23"/>
      <c r="Q69">
        <f>ROUND((Source!BZ28/100)*ROUND((Source!AF28*Source!AV28)*Source!I28, 2), 2)</f>
        <v>260142.94</v>
      </c>
      <c r="R69">
        <f>Source!X28</f>
        <v>260142.94</v>
      </c>
      <c r="S69">
        <f>ROUND((Source!CA28/100)*ROUND((Source!AF28*Source!AV28)*Source!I28, 2), 2)</f>
        <v>37163.279999999999</v>
      </c>
      <c r="T69">
        <f>Source!Y28</f>
        <v>37163.279999999999</v>
      </c>
      <c r="U69">
        <f>ROUND((175/100)*ROUND((Source!AE28*Source!AV28)*Source!I28, 2), 2)</f>
        <v>345010.96</v>
      </c>
      <c r="V69">
        <f>ROUND((108/100)*ROUND(Source!CS28*Source!I28, 2), 2)</f>
        <v>212921.05</v>
      </c>
    </row>
    <row r="70" spans="1:22" ht="14.4" x14ac:dyDescent="0.3">
      <c r="A70" s="20"/>
      <c r="B70" s="20"/>
      <c r="C70" s="20"/>
      <c r="D70" s="20" t="s">
        <v>185</v>
      </c>
      <c r="E70" s="21"/>
      <c r="F70" s="9"/>
      <c r="G70" s="23">
        <f>Source!AO28</f>
        <v>1313.19</v>
      </c>
      <c r="H70" s="22" t="str">
        <f>Source!DG28</f>
        <v/>
      </c>
      <c r="I70" s="9">
        <f>Source!AV28</f>
        <v>1</v>
      </c>
      <c r="J70" s="9">
        <f>IF(Source!BA28&lt;&gt; 0, Source!BA28, 1)</f>
        <v>1</v>
      </c>
      <c r="K70" s="23">
        <f>Source!S28</f>
        <v>371632.77</v>
      </c>
      <c r="L70" s="23"/>
    </row>
    <row r="71" spans="1:22" ht="14.4" x14ac:dyDescent="0.3">
      <c r="A71" s="20"/>
      <c r="B71" s="20"/>
      <c r="C71" s="20"/>
      <c r="D71" s="20" t="s">
        <v>186</v>
      </c>
      <c r="E71" s="21"/>
      <c r="F71" s="9"/>
      <c r="G71" s="23">
        <f>Source!AM28</f>
        <v>1570.61</v>
      </c>
      <c r="H71" s="22" t="str">
        <f>Source!DE28</f>
        <v/>
      </c>
      <c r="I71" s="9">
        <f>Source!AV28</f>
        <v>1</v>
      </c>
      <c r="J71" s="9">
        <f>IF(Source!BB28&lt;&gt; 0, Source!BB28, 1)</f>
        <v>1</v>
      </c>
      <c r="K71" s="23">
        <f>Source!Q28</f>
        <v>444482.63</v>
      </c>
      <c r="L71" s="23"/>
    </row>
    <row r="72" spans="1:22" ht="14.4" x14ac:dyDescent="0.3">
      <c r="A72" s="20"/>
      <c r="B72" s="20"/>
      <c r="C72" s="20"/>
      <c r="D72" s="20" t="s">
        <v>187</v>
      </c>
      <c r="E72" s="21"/>
      <c r="F72" s="9"/>
      <c r="G72" s="23">
        <f>Source!AN28</f>
        <v>696.64</v>
      </c>
      <c r="H72" s="22" t="str">
        <f>Source!DF28</f>
        <v/>
      </c>
      <c r="I72" s="9">
        <f>Source!AV28</f>
        <v>1</v>
      </c>
      <c r="J72" s="9">
        <f>IF(Source!BS28&lt;&gt; 0, Source!BS28, 1)</f>
        <v>1</v>
      </c>
      <c r="K72" s="24">
        <f>Source!R28</f>
        <v>197149.12</v>
      </c>
      <c r="L72" s="23"/>
    </row>
    <row r="73" spans="1:22" ht="14.4" x14ac:dyDescent="0.3">
      <c r="A73" s="20"/>
      <c r="B73" s="20"/>
      <c r="C73" s="20"/>
      <c r="D73" s="20" t="s">
        <v>194</v>
      </c>
      <c r="E73" s="21"/>
      <c r="F73" s="9"/>
      <c r="G73" s="23">
        <f>Source!AL28</f>
        <v>13.18</v>
      </c>
      <c r="H73" s="22" t="str">
        <f>Source!DD28</f>
        <v/>
      </c>
      <c r="I73" s="9">
        <f>Source!AW28</f>
        <v>1</v>
      </c>
      <c r="J73" s="9">
        <f>IF(Source!BC28&lt;&gt; 0, Source!BC28, 1)</f>
        <v>1</v>
      </c>
      <c r="K73" s="23">
        <f>Source!P28</f>
        <v>3729.94</v>
      </c>
      <c r="L73" s="23"/>
    </row>
    <row r="74" spans="1:22" ht="14.4" x14ac:dyDescent="0.3">
      <c r="A74" s="20"/>
      <c r="B74" s="20"/>
      <c r="C74" s="20"/>
      <c r="D74" s="20" t="s">
        <v>188</v>
      </c>
      <c r="E74" s="21" t="s">
        <v>189</v>
      </c>
      <c r="F74" s="9">
        <f>Source!AT28</f>
        <v>70</v>
      </c>
      <c r="G74" s="23"/>
      <c r="H74" s="22"/>
      <c r="I74" s="9"/>
      <c r="J74" s="9"/>
      <c r="K74" s="23">
        <f>SUM(R69:R73)</f>
        <v>260142.94</v>
      </c>
      <c r="L74" s="23"/>
    </row>
    <row r="75" spans="1:22" ht="14.4" x14ac:dyDescent="0.3">
      <c r="A75" s="20"/>
      <c r="B75" s="20"/>
      <c r="C75" s="20"/>
      <c r="D75" s="20" t="s">
        <v>190</v>
      </c>
      <c r="E75" s="21" t="s">
        <v>189</v>
      </c>
      <c r="F75" s="9">
        <f>Source!AU28</f>
        <v>10</v>
      </c>
      <c r="G75" s="23"/>
      <c r="H75" s="22"/>
      <c r="I75" s="9"/>
      <c r="J75" s="9"/>
      <c r="K75" s="23">
        <f>SUM(T69:T74)</f>
        <v>37163.279999999999</v>
      </c>
      <c r="L75" s="23"/>
    </row>
    <row r="76" spans="1:22" ht="14.4" x14ac:dyDescent="0.3">
      <c r="A76" s="20"/>
      <c r="B76" s="20"/>
      <c r="C76" s="20"/>
      <c r="D76" s="20" t="s">
        <v>191</v>
      </c>
      <c r="E76" s="21" t="s">
        <v>189</v>
      </c>
      <c r="F76" s="9">
        <f>108</f>
        <v>108</v>
      </c>
      <c r="G76" s="23"/>
      <c r="H76" s="22"/>
      <c r="I76" s="9"/>
      <c r="J76" s="9"/>
      <c r="K76" s="23">
        <f>SUM(V69:V75)</f>
        <v>212921.05</v>
      </c>
      <c r="L76" s="23"/>
    </row>
    <row r="77" spans="1:22" ht="14.4" x14ac:dyDescent="0.3">
      <c r="A77" s="20"/>
      <c r="B77" s="20"/>
      <c r="C77" s="20"/>
      <c r="D77" s="20" t="s">
        <v>192</v>
      </c>
      <c r="E77" s="21" t="s">
        <v>193</v>
      </c>
      <c r="F77" s="9">
        <f>Source!AQ28</f>
        <v>2.72</v>
      </c>
      <c r="G77" s="23"/>
      <c r="H77" s="22" t="str">
        <f>Source!DI28</f>
        <v/>
      </c>
      <c r="I77" s="9">
        <f>Source!AV28</f>
        <v>1</v>
      </c>
      <c r="J77" s="9"/>
      <c r="K77" s="23"/>
      <c r="L77" s="23">
        <f>Source!U28</f>
        <v>769.7600000000001</v>
      </c>
    </row>
    <row r="78" spans="1:22" ht="13.8" x14ac:dyDescent="0.25">
      <c r="A78" s="27"/>
      <c r="B78" s="27"/>
      <c r="C78" s="27"/>
      <c r="D78" s="27"/>
      <c r="E78" s="27"/>
      <c r="F78" s="27"/>
      <c r="G78" s="27"/>
      <c r="H78" s="27"/>
      <c r="I78" s="27"/>
      <c r="J78" s="74">
        <f>K70+K71+K73+K74+K75+K76</f>
        <v>1330072.6100000001</v>
      </c>
      <c r="K78" s="74"/>
      <c r="L78" s="28">
        <f>IF(Source!I28&lt;&gt;0, ROUND(J78/Source!I28, 2), 0)</f>
        <v>4699.8999999999996</v>
      </c>
      <c r="P78" s="25">
        <f>J78</f>
        <v>1330072.6100000001</v>
      </c>
    </row>
    <row r="79" spans="1:22" ht="27.6" x14ac:dyDescent="0.3">
      <c r="A79" s="20">
        <v>6</v>
      </c>
      <c r="B79" s="20">
        <v>6</v>
      </c>
      <c r="C79" s="20" t="str">
        <f>Source!F29</f>
        <v>5.4-3104-18-2/1</v>
      </c>
      <c r="D79" s="20" t="str">
        <f>Source!G29</f>
        <v>Измельчение ветвей, сучьев дробилкой - дерево диаметром до 200 мм</v>
      </c>
      <c r="E79" s="21" t="str">
        <f>Source!H29</f>
        <v>шт.</v>
      </c>
      <c r="F79" s="9">
        <f>Source!I29</f>
        <v>169</v>
      </c>
      <c r="G79" s="23"/>
      <c r="H79" s="22"/>
      <c r="I79" s="9"/>
      <c r="J79" s="9"/>
      <c r="K79" s="23"/>
      <c r="L79" s="23"/>
      <c r="Q79">
        <f>ROUND((Source!BZ29/100)*ROUND((Source!AF29*Source!AV29)*Source!I29, 2), 2)</f>
        <v>3427.15</v>
      </c>
      <c r="R79">
        <f>Source!X29</f>
        <v>3427.15</v>
      </c>
      <c r="S79">
        <f>ROUND((Source!CA29/100)*ROUND((Source!AF29*Source!AV29)*Source!I29, 2), 2)</f>
        <v>489.59</v>
      </c>
      <c r="T79">
        <f>Source!Y29</f>
        <v>489.59</v>
      </c>
      <c r="U79">
        <f>ROUND((175/100)*ROUND((Source!AE29*Source!AV29)*Source!I29, 2), 2)</f>
        <v>13557.18</v>
      </c>
      <c r="V79">
        <f>ROUND((108/100)*ROUND(Source!CS29*Source!I29, 2), 2)</f>
        <v>8366.7199999999993</v>
      </c>
    </row>
    <row r="80" spans="1:22" ht="14.4" x14ac:dyDescent="0.3">
      <c r="A80" s="20"/>
      <c r="B80" s="20"/>
      <c r="C80" s="20"/>
      <c r="D80" s="20" t="s">
        <v>185</v>
      </c>
      <c r="E80" s="21"/>
      <c r="F80" s="9"/>
      <c r="G80" s="23">
        <f>Source!AO29</f>
        <v>28.97</v>
      </c>
      <c r="H80" s="22" t="str">
        <f>Source!DG29</f>
        <v/>
      </c>
      <c r="I80" s="9">
        <f>Source!AV29</f>
        <v>1</v>
      </c>
      <c r="J80" s="9">
        <f>IF(Source!BA29&lt;&gt; 0, Source!BA29, 1)</f>
        <v>1</v>
      </c>
      <c r="K80" s="23">
        <f>Source!S29</f>
        <v>4895.93</v>
      </c>
      <c r="L80" s="23"/>
    </row>
    <row r="81" spans="1:22" ht="14.4" x14ac:dyDescent="0.3">
      <c r="A81" s="20"/>
      <c r="B81" s="20"/>
      <c r="C81" s="20"/>
      <c r="D81" s="20" t="s">
        <v>186</v>
      </c>
      <c r="E81" s="21"/>
      <c r="F81" s="9"/>
      <c r="G81" s="23">
        <f>Source!AM29</f>
        <v>116.04</v>
      </c>
      <c r="H81" s="22" t="str">
        <f>Source!DE29</f>
        <v/>
      </c>
      <c r="I81" s="9">
        <f>Source!AV29</f>
        <v>1</v>
      </c>
      <c r="J81" s="9">
        <f>IF(Source!BB29&lt;&gt; 0, Source!BB29, 1)</f>
        <v>1</v>
      </c>
      <c r="K81" s="23">
        <f>Source!Q29</f>
        <v>19610.759999999998</v>
      </c>
      <c r="L81" s="23"/>
    </row>
    <row r="82" spans="1:22" ht="14.4" x14ac:dyDescent="0.3">
      <c r="A82" s="20"/>
      <c r="B82" s="20"/>
      <c r="C82" s="20"/>
      <c r="D82" s="20" t="s">
        <v>187</v>
      </c>
      <c r="E82" s="21"/>
      <c r="F82" s="9"/>
      <c r="G82" s="23">
        <f>Source!AN29</f>
        <v>45.84</v>
      </c>
      <c r="H82" s="22" t="str">
        <f>Source!DF29</f>
        <v/>
      </c>
      <c r="I82" s="9">
        <f>Source!AV29</f>
        <v>1</v>
      </c>
      <c r="J82" s="9">
        <f>IF(Source!BS29&lt;&gt; 0, Source!BS29, 1)</f>
        <v>1</v>
      </c>
      <c r="K82" s="24">
        <f>Source!R29</f>
        <v>7746.96</v>
      </c>
      <c r="L82" s="23"/>
    </row>
    <row r="83" spans="1:22" ht="14.4" x14ac:dyDescent="0.3">
      <c r="A83" s="20"/>
      <c r="B83" s="20"/>
      <c r="C83" s="20"/>
      <c r="D83" s="20" t="s">
        <v>188</v>
      </c>
      <c r="E83" s="21" t="s">
        <v>189</v>
      </c>
      <c r="F83" s="9">
        <f>Source!AT29</f>
        <v>70</v>
      </c>
      <c r="G83" s="23"/>
      <c r="H83" s="22"/>
      <c r="I83" s="9"/>
      <c r="J83" s="9"/>
      <c r="K83" s="23">
        <f>SUM(R79:R82)</f>
        <v>3427.15</v>
      </c>
      <c r="L83" s="23"/>
    </row>
    <row r="84" spans="1:22" ht="14.4" x14ac:dyDescent="0.3">
      <c r="A84" s="20"/>
      <c r="B84" s="20"/>
      <c r="C84" s="20"/>
      <c r="D84" s="20" t="s">
        <v>190</v>
      </c>
      <c r="E84" s="21" t="s">
        <v>189</v>
      </c>
      <c r="F84" s="9">
        <f>Source!AU29</f>
        <v>10</v>
      </c>
      <c r="G84" s="23"/>
      <c r="H84" s="22"/>
      <c r="I84" s="9"/>
      <c r="J84" s="9"/>
      <c r="K84" s="23">
        <f>SUM(T79:T83)</f>
        <v>489.59</v>
      </c>
      <c r="L84" s="23"/>
    </row>
    <row r="85" spans="1:22" ht="14.4" x14ac:dyDescent="0.3">
      <c r="A85" s="20"/>
      <c r="B85" s="20"/>
      <c r="C85" s="20"/>
      <c r="D85" s="20" t="s">
        <v>191</v>
      </c>
      <c r="E85" s="21" t="s">
        <v>189</v>
      </c>
      <c r="F85" s="9">
        <f>108</f>
        <v>108</v>
      </c>
      <c r="G85" s="23"/>
      <c r="H85" s="22"/>
      <c r="I85" s="9"/>
      <c r="J85" s="9"/>
      <c r="K85" s="23">
        <f>SUM(V79:V84)</f>
        <v>8366.7199999999993</v>
      </c>
      <c r="L85" s="23"/>
    </row>
    <row r="86" spans="1:22" ht="14.4" x14ac:dyDescent="0.3">
      <c r="A86" s="20"/>
      <c r="B86" s="20"/>
      <c r="C86" s="20"/>
      <c r="D86" s="20" t="s">
        <v>192</v>
      </c>
      <c r="E86" s="21" t="s">
        <v>193</v>
      </c>
      <c r="F86" s="9">
        <f>Source!AQ29</f>
        <v>0.06</v>
      </c>
      <c r="G86" s="23"/>
      <c r="H86" s="22" t="str">
        <f>Source!DI29</f>
        <v/>
      </c>
      <c r="I86" s="9">
        <f>Source!AV29</f>
        <v>1</v>
      </c>
      <c r="J86" s="9"/>
      <c r="K86" s="23"/>
      <c r="L86" s="23">
        <f>Source!U29</f>
        <v>10.139999999999999</v>
      </c>
    </row>
    <row r="87" spans="1:22" ht="13.8" x14ac:dyDescent="0.25">
      <c r="A87" s="27"/>
      <c r="B87" s="27"/>
      <c r="C87" s="27"/>
      <c r="D87" s="27"/>
      <c r="E87" s="27"/>
      <c r="F87" s="27"/>
      <c r="G87" s="27"/>
      <c r="H87" s="27"/>
      <c r="I87" s="27"/>
      <c r="J87" s="74">
        <f>K80+K81+K83+K84+K85</f>
        <v>36790.15</v>
      </c>
      <c r="K87" s="74"/>
      <c r="L87" s="28">
        <f>IF(Source!I29&lt;&gt;0, ROUND(J87/Source!I29, 2), 0)</f>
        <v>217.69</v>
      </c>
      <c r="P87" s="25">
        <f>J87</f>
        <v>36790.15</v>
      </c>
    </row>
    <row r="88" spans="1:22" ht="27.6" x14ac:dyDescent="0.3">
      <c r="A88" s="20">
        <v>7</v>
      </c>
      <c r="B88" s="20">
        <v>7</v>
      </c>
      <c r="C88" s="20" t="str">
        <f>Source!F30</f>
        <v>5.4-3104-18-3/1</v>
      </c>
      <c r="D88" s="20" t="str">
        <f>Source!G30</f>
        <v>Измельчение ветвей, сучьев дробилкой - дерево диаметром до 300 мм</v>
      </c>
      <c r="E88" s="21" t="str">
        <f>Source!H30</f>
        <v>шт.</v>
      </c>
      <c r="F88" s="9">
        <f>Source!I30</f>
        <v>85</v>
      </c>
      <c r="G88" s="23"/>
      <c r="H88" s="22"/>
      <c r="I88" s="9"/>
      <c r="J88" s="9"/>
      <c r="K88" s="23"/>
      <c r="L88" s="23"/>
      <c r="Q88">
        <f>ROUND((Source!BZ30/100)*ROUND((Source!AF30*Source!AV30)*Source!I30, 2), 2)</f>
        <v>9171.33</v>
      </c>
      <c r="R88">
        <f>Source!X30</f>
        <v>9171.33</v>
      </c>
      <c r="S88">
        <f>ROUND((Source!CA30/100)*ROUND((Source!AF30*Source!AV30)*Source!I30, 2), 2)</f>
        <v>1310.19</v>
      </c>
      <c r="T88">
        <f>Source!Y30</f>
        <v>1310.19</v>
      </c>
      <c r="U88">
        <f>ROUND((175/100)*ROUND((Source!AE30*Source!AV30)*Source!I30, 2), 2)</f>
        <v>20456.099999999999</v>
      </c>
      <c r="V88">
        <f>ROUND((108/100)*ROUND(Source!CS30*Source!I30, 2), 2)</f>
        <v>12624.34</v>
      </c>
    </row>
    <row r="89" spans="1:22" ht="14.4" x14ac:dyDescent="0.3">
      <c r="A89" s="20"/>
      <c r="B89" s="20"/>
      <c r="C89" s="20"/>
      <c r="D89" s="20" t="s">
        <v>185</v>
      </c>
      <c r="E89" s="21"/>
      <c r="F89" s="9"/>
      <c r="G89" s="23">
        <f>Source!AO30</f>
        <v>154.13999999999999</v>
      </c>
      <c r="H89" s="22" t="str">
        <f>Source!DG30</f>
        <v/>
      </c>
      <c r="I89" s="9">
        <f>Source!AV30</f>
        <v>1</v>
      </c>
      <c r="J89" s="9">
        <f>IF(Source!BA30&lt;&gt; 0, Source!BA30, 1)</f>
        <v>1</v>
      </c>
      <c r="K89" s="23">
        <f>Source!S30</f>
        <v>13101.9</v>
      </c>
      <c r="L89" s="23"/>
    </row>
    <row r="90" spans="1:22" ht="14.4" x14ac:dyDescent="0.3">
      <c r="A90" s="20"/>
      <c r="B90" s="20"/>
      <c r="C90" s="20"/>
      <c r="D90" s="20" t="s">
        <v>186</v>
      </c>
      <c r="E90" s="21"/>
      <c r="F90" s="9"/>
      <c r="G90" s="23">
        <f>Source!AM30</f>
        <v>348.11</v>
      </c>
      <c r="H90" s="22" t="str">
        <f>Source!DE30</f>
        <v/>
      </c>
      <c r="I90" s="9">
        <f>Source!AV30</f>
        <v>1</v>
      </c>
      <c r="J90" s="9">
        <f>IF(Source!BB30&lt;&gt; 0, Source!BB30, 1)</f>
        <v>1</v>
      </c>
      <c r="K90" s="23">
        <f>Source!Q30</f>
        <v>29589.35</v>
      </c>
      <c r="L90" s="23"/>
    </row>
    <row r="91" spans="1:22" ht="14.4" x14ac:dyDescent="0.3">
      <c r="A91" s="20"/>
      <c r="B91" s="20"/>
      <c r="C91" s="20"/>
      <c r="D91" s="20" t="s">
        <v>187</v>
      </c>
      <c r="E91" s="21"/>
      <c r="F91" s="9"/>
      <c r="G91" s="23">
        <f>Source!AN30</f>
        <v>137.52000000000001</v>
      </c>
      <c r="H91" s="22" t="str">
        <f>Source!DF30</f>
        <v/>
      </c>
      <c r="I91" s="9">
        <f>Source!AV30</f>
        <v>1</v>
      </c>
      <c r="J91" s="9">
        <f>IF(Source!BS30&lt;&gt; 0, Source!BS30, 1)</f>
        <v>1</v>
      </c>
      <c r="K91" s="24">
        <f>Source!R30</f>
        <v>11689.2</v>
      </c>
      <c r="L91" s="23"/>
    </row>
    <row r="92" spans="1:22" ht="14.4" x14ac:dyDescent="0.3">
      <c r="A92" s="20"/>
      <c r="B92" s="20"/>
      <c r="C92" s="20"/>
      <c r="D92" s="20" t="s">
        <v>188</v>
      </c>
      <c r="E92" s="21" t="s">
        <v>189</v>
      </c>
      <c r="F92" s="9">
        <f>Source!AT30</f>
        <v>70</v>
      </c>
      <c r="G92" s="23"/>
      <c r="H92" s="22"/>
      <c r="I92" s="9"/>
      <c r="J92" s="9"/>
      <c r="K92" s="23">
        <f>SUM(R88:R91)</f>
        <v>9171.33</v>
      </c>
      <c r="L92" s="23"/>
    </row>
    <row r="93" spans="1:22" ht="14.4" x14ac:dyDescent="0.3">
      <c r="A93" s="20"/>
      <c r="B93" s="20"/>
      <c r="C93" s="20"/>
      <c r="D93" s="20" t="s">
        <v>190</v>
      </c>
      <c r="E93" s="21" t="s">
        <v>189</v>
      </c>
      <c r="F93" s="9">
        <f>Source!AU30</f>
        <v>10</v>
      </c>
      <c r="G93" s="23"/>
      <c r="H93" s="22"/>
      <c r="I93" s="9"/>
      <c r="J93" s="9"/>
      <c r="K93" s="23">
        <f>SUM(T88:T92)</f>
        <v>1310.19</v>
      </c>
      <c r="L93" s="23"/>
    </row>
    <row r="94" spans="1:22" ht="14.4" x14ac:dyDescent="0.3">
      <c r="A94" s="20"/>
      <c r="B94" s="20"/>
      <c r="C94" s="20"/>
      <c r="D94" s="20" t="s">
        <v>191</v>
      </c>
      <c r="E94" s="21" t="s">
        <v>189</v>
      </c>
      <c r="F94" s="9">
        <f>108</f>
        <v>108</v>
      </c>
      <c r="G94" s="23"/>
      <c r="H94" s="22"/>
      <c r="I94" s="9"/>
      <c r="J94" s="9"/>
      <c r="K94" s="23">
        <f>SUM(V88:V93)</f>
        <v>12624.34</v>
      </c>
      <c r="L94" s="23"/>
    </row>
    <row r="95" spans="1:22" ht="14.4" x14ac:dyDescent="0.3">
      <c r="A95" s="20"/>
      <c r="B95" s="20"/>
      <c r="C95" s="20"/>
      <c r="D95" s="20" t="s">
        <v>192</v>
      </c>
      <c r="E95" s="21" t="s">
        <v>193</v>
      </c>
      <c r="F95" s="9">
        <f>Source!AQ30</f>
        <v>0.33</v>
      </c>
      <c r="G95" s="23"/>
      <c r="H95" s="22" t="str">
        <f>Source!DI30</f>
        <v/>
      </c>
      <c r="I95" s="9">
        <f>Source!AV30</f>
        <v>1</v>
      </c>
      <c r="J95" s="9"/>
      <c r="K95" s="23"/>
      <c r="L95" s="23">
        <f>Source!U30</f>
        <v>28.05</v>
      </c>
    </row>
    <row r="96" spans="1:22" ht="13.8" x14ac:dyDescent="0.25">
      <c r="A96" s="27"/>
      <c r="B96" s="27"/>
      <c r="C96" s="27"/>
      <c r="D96" s="27"/>
      <c r="E96" s="27"/>
      <c r="F96" s="27"/>
      <c r="G96" s="27"/>
      <c r="H96" s="27"/>
      <c r="I96" s="27"/>
      <c r="J96" s="74">
        <f>K89+K90+K92+K93+K94</f>
        <v>65797.11</v>
      </c>
      <c r="K96" s="74"/>
      <c r="L96" s="28">
        <f>IF(Source!I30&lt;&gt;0, ROUND(J96/Source!I30, 2), 0)</f>
        <v>774.08</v>
      </c>
      <c r="P96" s="25">
        <f>J96</f>
        <v>65797.11</v>
      </c>
    </row>
    <row r="97" spans="1:22" ht="27.6" x14ac:dyDescent="0.3">
      <c r="A97" s="20">
        <v>8</v>
      </c>
      <c r="B97" s="20">
        <v>8</v>
      </c>
      <c r="C97" s="20" t="str">
        <f>Source!F31</f>
        <v>5.4-3104-18-4/1</v>
      </c>
      <c r="D97" s="20" t="str">
        <f>Source!G31</f>
        <v>Измельчение ветвей, сучьев дробилкой - дерево диаметром до 400 мм</v>
      </c>
      <c r="E97" s="21" t="str">
        <f>Source!H31</f>
        <v>шт.</v>
      </c>
      <c r="F97" s="9">
        <f>Source!I31</f>
        <v>29</v>
      </c>
      <c r="G97" s="23"/>
      <c r="H97" s="22"/>
      <c r="I97" s="9"/>
      <c r="J97" s="9"/>
      <c r="K97" s="23"/>
      <c r="L97" s="23"/>
      <c r="Q97">
        <f>ROUND((Source!BZ31/100)*ROUND((Source!AF31*Source!AV31)*Source!I31, 2), 2)</f>
        <v>3982.25</v>
      </c>
      <c r="R97">
        <f>Source!X31</f>
        <v>3982.25</v>
      </c>
      <c r="S97">
        <f>ROUND((Source!CA31/100)*ROUND((Source!AF31*Source!AV31)*Source!I31, 2), 2)</f>
        <v>568.89</v>
      </c>
      <c r="T97">
        <f>Source!Y31</f>
        <v>568.89</v>
      </c>
      <c r="U97">
        <f>ROUND((175/100)*ROUND((Source!AE31*Source!AV31)*Source!I31, 2), 2)</f>
        <v>9305.52</v>
      </c>
      <c r="V97">
        <f>ROUND((108/100)*ROUND(Source!CS31*Source!I31, 2), 2)</f>
        <v>5742.84</v>
      </c>
    </row>
    <row r="98" spans="1:22" ht="14.4" x14ac:dyDescent="0.3">
      <c r="A98" s="20"/>
      <c r="B98" s="20"/>
      <c r="C98" s="20"/>
      <c r="D98" s="20" t="s">
        <v>185</v>
      </c>
      <c r="E98" s="21"/>
      <c r="F98" s="9"/>
      <c r="G98" s="23">
        <f>Source!AO31</f>
        <v>196.17</v>
      </c>
      <c r="H98" s="22" t="str">
        <f>Source!DG31</f>
        <v/>
      </c>
      <c r="I98" s="9">
        <f>Source!AV31</f>
        <v>1</v>
      </c>
      <c r="J98" s="9">
        <f>IF(Source!BA31&lt;&gt; 0, Source!BA31, 1)</f>
        <v>1</v>
      </c>
      <c r="K98" s="23">
        <f>Source!S31</f>
        <v>5688.93</v>
      </c>
      <c r="L98" s="23"/>
    </row>
    <row r="99" spans="1:22" ht="14.4" x14ac:dyDescent="0.3">
      <c r="A99" s="20"/>
      <c r="B99" s="20"/>
      <c r="C99" s="20"/>
      <c r="D99" s="20" t="s">
        <v>186</v>
      </c>
      <c r="E99" s="21"/>
      <c r="F99" s="9"/>
      <c r="G99" s="23">
        <f>Source!AM31</f>
        <v>464.14</v>
      </c>
      <c r="H99" s="22" t="str">
        <f>Source!DE31</f>
        <v/>
      </c>
      <c r="I99" s="9">
        <f>Source!AV31</f>
        <v>1</v>
      </c>
      <c r="J99" s="9">
        <f>IF(Source!BB31&lt;&gt; 0, Source!BB31, 1)</f>
        <v>1</v>
      </c>
      <c r="K99" s="23">
        <f>Source!Q31</f>
        <v>13460.06</v>
      </c>
      <c r="L99" s="23"/>
    </row>
    <row r="100" spans="1:22" ht="14.4" x14ac:dyDescent="0.3">
      <c r="A100" s="20"/>
      <c r="B100" s="20"/>
      <c r="C100" s="20"/>
      <c r="D100" s="20" t="s">
        <v>187</v>
      </c>
      <c r="E100" s="21"/>
      <c r="F100" s="9"/>
      <c r="G100" s="23">
        <f>Source!AN31</f>
        <v>183.36</v>
      </c>
      <c r="H100" s="22" t="str">
        <f>Source!DF31</f>
        <v/>
      </c>
      <c r="I100" s="9">
        <f>Source!AV31</f>
        <v>1</v>
      </c>
      <c r="J100" s="9">
        <f>IF(Source!BS31&lt;&gt; 0, Source!BS31, 1)</f>
        <v>1</v>
      </c>
      <c r="K100" s="24">
        <f>Source!R31</f>
        <v>5317.44</v>
      </c>
      <c r="L100" s="23"/>
    </row>
    <row r="101" spans="1:22" ht="14.4" x14ac:dyDescent="0.3">
      <c r="A101" s="20"/>
      <c r="B101" s="20"/>
      <c r="C101" s="20"/>
      <c r="D101" s="20" t="s">
        <v>188</v>
      </c>
      <c r="E101" s="21" t="s">
        <v>189</v>
      </c>
      <c r="F101" s="9">
        <f>Source!AT31</f>
        <v>70</v>
      </c>
      <c r="G101" s="23"/>
      <c r="H101" s="22"/>
      <c r="I101" s="9"/>
      <c r="J101" s="9"/>
      <c r="K101" s="23">
        <f>SUM(R97:R100)</f>
        <v>3982.25</v>
      </c>
      <c r="L101" s="23"/>
    </row>
    <row r="102" spans="1:22" ht="14.4" x14ac:dyDescent="0.3">
      <c r="A102" s="20"/>
      <c r="B102" s="20"/>
      <c r="C102" s="20"/>
      <c r="D102" s="20" t="s">
        <v>190</v>
      </c>
      <c r="E102" s="21" t="s">
        <v>189</v>
      </c>
      <c r="F102" s="9">
        <f>Source!AU31</f>
        <v>10</v>
      </c>
      <c r="G102" s="23"/>
      <c r="H102" s="22"/>
      <c r="I102" s="9"/>
      <c r="J102" s="9"/>
      <c r="K102" s="23">
        <f>SUM(T97:T101)</f>
        <v>568.89</v>
      </c>
      <c r="L102" s="23"/>
    </row>
    <row r="103" spans="1:22" ht="14.4" x14ac:dyDescent="0.3">
      <c r="A103" s="20"/>
      <c r="B103" s="20"/>
      <c r="C103" s="20"/>
      <c r="D103" s="20" t="s">
        <v>191</v>
      </c>
      <c r="E103" s="21" t="s">
        <v>189</v>
      </c>
      <c r="F103" s="9">
        <f>108</f>
        <v>108</v>
      </c>
      <c r="G103" s="23"/>
      <c r="H103" s="22"/>
      <c r="I103" s="9"/>
      <c r="J103" s="9"/>
      <c r="K103" s="23">
        <f>SUM(V97:V102)</f>
        <v>5742.84</v>
      </c>
      <c r="L103" s="23"/>
    </row>
    <row r="104" spans="1:22" ht="14.4" x14ac:dyDescent="0.3">
      <c r="A104" s="20"/>
      <c r="B104" s="20"/>
      <c r="C104" s="20"/>
      <c r="D104" s="20" t="s">
        <v>192</v>
      </c>
      <c r="E104" s="21" t="s">
        <v>193</v>
      </c>
      <c r="F104" s="9">
        <f>Source!AQ31</f>
        <v>0.42</v>
      </c>
      <c r="G104" s="23"/>
      <c r="H104" s="22" t="str">
        <f>Source!DI31</f>
        <v/>
      </c>
      <c r="I104" s="9">
        <f>Source!AV31</f>
        <v>1</v>
      </c>
      <c r="J104" s="9"/>
      <c r="K104" s="23"/>
      <c r="L104" s="23">
        <f>Source!U31</f>
        <v>12.18</v>
      </c>
    </row>
    <row r="105" spans="1:22" ht="13.8" x14ac:dyDescent="0.25">
      <c r="A105" s="27"/>
      <c r="B105" s="27"/>
      <c r="C105" s="27"/>
      <c r="D105" s="27"/>
      <c r="E105" s="27"/>
      <c r="F105" s="27"/>
      <c r="G105" s="27"/>
      <c r="H105" s="27"/>
      <c r="I105" s="27"/>
      <c r="J105" s="74">
        <f>K98+K99+K101+K102+K103</f>
        <v>29442.969999999998</v>
      </c>
      <c r="K105" s="74"/>
      <c r="L105" s="28">
        <f>IF(Source!I31&lt;&gt;0, ROUND(J105/Source!I31, 2), 0)</f>
        <v>1015.27</v>
      </c>
      <c r="P105" s="25">
        <f>J105</f>
        <v>29442.969999999998</v>
      </c>
    </row>
    <row r="106" spans="1:22" ht="27.6" x14ac:dyDescent="0.3">
      <c r="A106" s="20">
        <v>9</v>
      </c>
      <c r="B106" s="20">
        <v>9</v>
      </c>
      <c r="C106" s="20" t="str">
        <f>Source!F32</f>
        <v>5.4-3105-2-1/1</v>
      </c>
      <c r="D106" s="20" t="str">
        <f>Source!G32</f>
        <v>Погрузка вручную на автотранспорт порубочных остатков - обрезанные ветви</v>
      </c>
      <c r="E106" s="21" t="str">
        <f>Source!H32</f>
        <v>скл. м3</v>
      </c>
      <c r="F106" s="9">
        <f>Source!I32</f>
        <v>61.024700000000003</v>
      </c>
      <c r="G106" s="23"/>
      <c r="H106" s="22"/>
      <c r="I106" s="9"/>
      <c r="J106" s="9"/>
      <c r="K106" s="23"/>
      <c r="L106" s="23"/>
      <c r="Q106">
        <f>ROUND((Source!BZ32/100)*ROUND((Source!AF32*Source!AV32)*Source!I32, 2), 2)</f>
        <v>8369.6</v>
      </c>
      <c r="R106">
        <f>Source!X32</f>
        <v>8369.6</v>
      </c>
      <c r="S106">
        <f>ROUND((Source!CA32/100)*ROUND((Source!AF32*Source!AV32)*Source!I32, 2), 2)</f>
        <v>1195.6600000000001</v>
      </c>
      <c r="T106">
        <f>Source!Y32</f>
        <v>1195.6600000000001</v>
      </c>
      <c r="U106">
        <f>ROUND((175/100)*ROUND((Source!AE32*Source!AV32)*Source!I32, 2), 2)</f>
        <v>0</v>
      </c>
      <c r="V106">
        <f>ROUND((108/100)*ROUND(Source!CS32*Source!I32, 2), 2)</f>
        <v>0</v>
      </c>
    </row>
    <row r="107" spans="1:22" ht="14.4" x14ac:dyDescent="0.3">
      <c r="A107" s="20"/>
      <c r="B107" s="20"/>
      <c r="C107" s="20"/>
      <c r="D107" s="20" t="s">
        <v>185</v>
      </c>
      <c r="E107" s="21"/>
      <c r="F107" s="9"/>
      <c r="G107" s="23">
        <f>Source!AO32</f>
        <v>195.93</v>
      </c>
      <c r="H107" s="22" t="str">
        <f>Source!DG32</f>
        <v/>
      </c>
      <c r="I107" s="9">
        <f>Source!AV32</f>
        <v>1</v>
      </c>
      <c r="J107" s="9">
        <f>IF(Source!BA32&lt;&gt; 0, Source!BA32, 1)</f>
        <v>1</v>
      </c>
      <c r="K107" s="23">
        <f>Source!S32</f>
        <v>11956.57</v>
      </c>
      <c r="L107" s="23"/>
    </row>
    <row r="108" spans="1:22" ht="14.4" x14ac:dyDescent="0.3">
      <c r="A108" s="20"/>
      <c r="B108" s="20"/>
      <c r="C108" s="20"/>
      <c r="D108" s="20" t="s">
        <v>188</v>
      </c>
      <c r="E108" s="21" t="s">
        <v>189</v>
      </c>
      <c r="F108" s="9">
        <f>Source!AT32</f>
        <v>70</v>
      </c>
      <c r="G108" s="23"/>
      <c r="H108" s="22"/>
      <c r="I108" s="9"/>
      <c r="J108" s="9"/>
      <c r="K108" s="23">
        <f>SUM(R106:R107)</f>
        <v>8369.6</v>
      </c>
      <c r="L108" s="23"/>
    </row>
    <row r="109" spans="1:22" ht="14.4" x14ac:dyDescent="0.3">
      <c r="A109" s="20"/>
      <c r="B109" s="20"/>
      <c r="C109" s="20"/>
      <c r="D109" s="20" t="s">
        <v>190</v>
      </c>
      <c r="E109" s="21" t="s">
        <v>189</v>
      </c>
      <c r="F109" s="9">
        <f>Source!AU32</f>
        <v>10</v>
      </c>
      <c r="G109" s="23"/>
      <c r="H109" s="22"/>
      <c r="I109" s="9"/>
      <c r="J109" s="9"/>
      <c r="K109" s="23">
        <f>SUM(T106:T108)</f>
        <v>1195.6600000000001</v>
      </c>
      <c r="L109" s="23"/>
    </row>
    <row r="110" spans="1:22" ht="14.4" x14ac:dyDescent="0.3">
      <c r="A110" s="20"/>
      <c r="B110" s="20"/>
      <c r="C110" s="20"/>
      <c r="D110" s="20" t="s">
        <v>192</v>
      </c>
      <c r="E110" s="21" t="s">
        <v>193</v>
      </c>
      <c r="F110" s="9">
        <f>Source!AQ32</f>
        <v>0.45</v>
      </c>
      <c r="G110" s="23"/>
      <c r="H110" s="22" t="str">
        <f>Source!DI32</f>
        <v/>
      </c>
      <c r="I110" s="9">
        <f>Source!AV32</f>
        <v>1</v>
      </c>
      <c r="J110" s="9"/>
      <c r="K110" s="23"/>
      <c r="L110" s="23">
        <f>Source!U32</f>
        <v>27.461115000000003</v>
      </c>
    </row>
    <row r="111" spans="1:22" ht="13.8" x14ac:dyDescent="0.25">
      <c r="A111" s="27"/>
      <c r="B111" s="27"/>
      <c r="C111" s="27"/>
      <c r="D111" s="27"/>
      <c r="E111" s="27"/>
      <c r="F111" s="27"/>
      <c r="G111" s="27"/>
      <c r="H111" s="27"/>
      <c r="I111" s="27"/>
      <c r="J111" s="74">
        <f>K107+K108+K109</f>
        <v>21521.829999999998</v>
      </c>
      <c r="K111" s="74"/>
      <c r="L111" s="28">
        <f>IF(Source!I32&lt;&gt;0, ROUND(J111/Source!I32, 2), 0)</f>
        <v>352.67</v>
      </c>
      <c r="P111" s="25">
        <f>J111</f>
        <v>21521.829999999998</v>
      </c>
    </row>
    <row r="112" spans="1:22" ht="41.4" x14ac:dyDescent="0.3">
      <c r="A112" s="20">
        <v>10</v>
      </c>
      <c r="B112" s="20">
        <v>10</v>
      </c>
      <c r="C112" s="20" t="str">
        <f>Source!F33</f>
        <v>5.4-3105-2-2/1</v>
      </c>
      <c r="D112" s="20" t="str">
        <f>Source!G33</f>
        <v>Погрузка вручную на автотранспорт порубочных остатков - после валки деревьев</v>
      </c>
      <c r="E112" s="21" t="str">
        <f>Source!H33</f>
        <v>скл. м3</v>
      </c>
      <c r="F112" s="9">
        <f>Source!I33</f>
        <v>120.8</v>
      </c>
      <c r="G112" s="23"/>
      <c r="H112" s="22"/>
      <c r="I112" s="9"/>
      <c r="J112" s="9"/>
      <c r="K112" s="23"/>
      <c r="L112" s="23"/>
      <c r="Q112">
        <f>ROUND((Source!BZ33/100)*ROUND((Source!AF33*Source!AV33)*Source!I33, 2), 2)</f>
        <v>21721.77</v>
      </c>
      <c r="R112">
        <f>Source!X33</f>
        <v>21721.77</v>
      </c>
      <c r="S112">
        <f>ROUND((Source!CA33/100)*ROUND((Source!AF33*Source!AV33)*Source!I33, 2), 2)</f>
        <v>3103.11</v>
      </c>
      <c r="T112">
        <f>Source!Y33</f>
        <v>3103.11</v>
      </c>
      <c r="U112">
        <f>ROUND((175/100)*ROUND((Source!AE33*Source!AV33)*Source!I33, 2), 2)</f>
        <v>0</v>
      </c>
      <c r="V112">
        <f>ROUND((108/100)*ROUND(Source!CS33*Source!I33, 2), 2)</f>
        <v>0</v>
      </c>
    </row>
    <row r="113" spans="1:22" ht="14.4" x14ac:dyDescent="0.3">
      <c r="A113" s="20"/>
      <c r="B113" s="20"/>
      <c r="C113" s="20"/>
      <c r="D113" s="20" t="s">
        <v>185</v>
      </c>
      <c r="E113" s="21"/>
      <c r="F113" s="9"/>
      <c r="G113" s="23">
        <f>Source!AO33</f>
        <v>256.88</v>
      </c>
      <c r="H113" s="22" t="str">
        <f>Source!DG33</f>
        <v/>
      </c>
      <c r="I113" s="9">
        <f>Source!AV33</f>
        <v>1</v>
      </c>
      <c r="J113" s="9">
        <f>IF(Source!BA33&lt;&gt; 0, Source!BA33, 1)</f>
        <v>1</v>
      </c>
      <c r="K113" s="23">
        <f>Source!S33</f>
        <v>31031.1</v>
      </c>
      <c r="L113" s="23"/>
    </row>
    <row r="114" spans="1:22" ht="14.4" x14ac:dyDescent="0.3">
      <c r="A114" s="20"/>
      <c r="B114" s="20"/>
      <c r="C114" s="20"/>
      <c r="D114" s="20" t="s">
        <v>188</v>
      </c>
      <c r="E114" s="21" t="s">
        <v>189</v>
      </c>
      <c r="F114" s="9">
        <f>Source!AT33</f>
        <v>70</v>
      </c>
      <c r="G114" s="23"/>
      <c r="H114" s="22"/>
      <c r="I114" s="9"/>
      <c r="J114" s="9"/>
      <c r="K114" s="23">
        <f>SUM(R112:R113)</f>
        <v>21721.77</v>
      </c>
      <c r="L114" s="23"/>
    </row>
    <row r="115" spans="1:22" ht="14.4" x14ac:dyDescent="0.3">
      <c r="A115" s="20"/>
      <c r="B115" s="20"/>
      <c r="C115" s="20"/>
      <c r="D115" s="20" t="s">
        <v>190</v>
      </c>
      <c r="E115" s="21" t="s">
        <v>189</v>
      </c>
      <c r="F115" s="9">
        <f>Source!AU33</f>
        <v>10</v>
      </c>
      <c r="G115" s="23"/>
      <c r="H115" s="22"/>
      <c r="I115" s="9"/>
      <c r="J115" s="9"/>
      <c r="K115" s="23">
        <f>SUM(T112:T114)</f>
        <v>3103.11</v>
      </c>
      <c r="L115" s="23"/>
    </row>
    <row r="116" spans="1:22" ht="14.4" x14ac:dyDescent="0.3">
      <c r="A116" s="20"/>
      <c r="B116" s="20"/>
      <c r="C116" s="20"/>
      <c r="D116" s="20" t="s">
        <v>192</v>
      </c>
      <c r="E116" s="21" t="s">
        <v>193</v>
      </c>
      <c r="F116" s="9">
        <f>Source!AQ33</f>
        <v>0.59</v>
      </c>
      <c r="G116" s="23"/>
      <c r="H116" s="22" t="str">
        <f>Source!DI33</f>
        <v/>
      </c>
      <c r="I116" s="9">
        <f>Source!AV33</f>
        <v>1</v>
      </c>
      <c r="J116" s="9"/>
      <c r="K116" s="23"/>
      <c r="L116" s="23">
        <f>Source!U33</f>
        <v>71.271999999999991</v>
      </c>
    </row>
    <row r="117" spans="1:22" ht="13.8" x14ac:dyDescent="0.25">
      <c r="A117" s="27"/>
      <c r="B117" s="27"/>
      <c r="C117" s="27"/>
      <c r="D117" s="27"/>
      <c r="E117" s="27"/>
      <c r="F117" s="27"/>
      <c r="G117" s="27"/>
      <c r="H117" s="27"/>
      <c r="I117" s="27"/>
      <c r="J117" s="74">
        <f>K113+K114+K115</f>
        <v>55855.979999999996</v>
      </c>
      <c r="K117" s="74"/>
      <c r="L117" s="28">
        <f>IF(Source!I33&lt;&gt;0, ROUND(J117/Source!I33, 2), 0)</f>
        <v>462.38</v>
      </c>
      <c r="P117" s="25">
        <f>J117</f>
        <v>55855.979999999996</v>
      </c>
    </row>
    <row r="118" spans="1:22" ht="82.8" x14ac:dyDescent="0.3">
      <c r="A118" s="20">
        <v>11</v>
      </c>
      <c r="B118" s="20">
        <v>11</v>
      </c>
      <c r="C118" s="20" t="str">
        <f>Source!F34</f>
        <v>5.4-3105-4-3/1</v>
      </c>
      <c r="D118" s="20" t="str">
        <f>Source!G34</f>
        <v>Перевозка порубочных остатков после вырубки кустарников и обрезанных ветвей автосамосвалами грузоподъемностью до 15 т на расстояние 1 км - при механизированной погрузке</v>
      </c>
      <c r="E118" s="21" t="str">
        <f>Source!H34</f>
        <v>т</v>
      </c>
      <c r="F118" s="9">
        <f>Source!I34</f>
        <v>77.5</v>
      </c>
      <c r="G118" s="23"/>
      <c r="H118" s="22"/>
      <c r="I118" s="9"/>
      <c r="J118" s="9"/>
      <c r="K118" s="23"/>
      <c r="L118" s="23"/>
      <c r="Q118">
        <f>ROUND((Source!BZ34/100)*ROUND((Source!AF34*Source!AV34)*Source!I34, 2), 2)</f>
        <v>0</v>
      </c>
      <c r="R118">
        <f>Source!X34</f>
        <v>0</v>
      </c>
      <c r="S118">
        <f>ROUND((Source!CA34/100)*ROUND((Source!AF34*Source!AV34)*Source!I34, 2), 2)</f>
        <v>0</v>
      </c>
      <c r="T118">
        <f>Source!Y34</f>
        <v>0</v>
      </c>
      <c r="U118">
        <f>ROUND((175/100)*ROUND((Source!AE34*Source!AV34)*Source!I34, 2), 2)</f>
        <v>10234.26</v>
      </c>
      <c r="V118">
        <f>ROUND((108/100)*ROUND(Source!CS34*Source!I34, 2), 2)</f>
        <v>6316</v>
      </c>
    </row>
    <row r="119" spans="1:22" ht="14.4" x14ac:dyDescent="0.3">
      <c r="A119" s="20"/>
      <c r="B119" s="20"/>
      <c r="C119" s="20"/>
      <c r="D119" s="20" t="s">
        <v>186</v>
      </c>
      <c r="E119" s="21"/>
      <c r="F119" s="9"/>
      <c r="G119" s="23">
        <f>Source!AM34</f>
        <v>242.89</v>
      </c>
      <c r="H119" s="22" t="str">
        <f>Source!DE34</f>
        <v/>
      </c>
      <c r="I119" s="9">
        <f>Source!AV34</f>
        <v>1</v>
      </c>
      <c r="J119" s="9">
        <f>IF(Source!BB34&lt;&gt; 0, Source!BB34, 1)</f>
        <v>1</v>
      </c>
      <c r="K119" s="23">
        <f>Source!Q34</f>
        <v>18823.98</v>
      </c>
      <c r="L119" s="23"/>
    </row>
    <row r="120" spans="1:22" ht="14.4" x14ac:dyDescent="0.3">
      <c r="A120" s="20"/>
      <c r="B120" s="20"/>
      <c r="C120" s="20"/>
      <c r="D120" s="20" t="s">
        <v>187</v>
      </c>
      <c r="E120" s="21"/>
      <c r="F120" s="9"/>
      <c r="G120" s="23">
        <f>Source!AN34</f>
        <v>75.459999999999994</v>
      </c>
      <c r="H120" s="22" t="str">
        <f>Source!DF34</f>
        <v/>
      </c>
      <c r="I120" s="9">
        <f>Source!AV34</f>
        <v>1</v>
      </c>
      <c r="J120" s="9">
        <f>IF(Source!BS34&lt;&gt; 0, Source!BS34, 1)</f>
        <v>1</v>
      </c>
      <c r="K120" s="24">
        <f>Source!R34</f>
        <v>5848.15</v>
      </c>
      <c r="L120" s="23"/>
    </row>
    <row r="121" spans="1:22" ht="13.8" x14ac:dyDescent="0.25">
      <c r="A121" s="27"/>
      <c r="B121" s="27"/>
      <c r="C121" s="27"/>
      <c r="D121" s="27"/>
      <c r="E121" s="27"/>
      <c r="F121" s="27"/>
      <c r="G121" s="27"/>
      <c r="H121" s="27"/>
      <c r="I121" s="27"/>
      <c r="J121" s="74">
        <f>K119</f>
        <v>18823.98</v>
      </c>
      <c r="K121" s="74"/>
      <c r="L121" s="28">
        <f>IF(Source!I34&lt;&gt;0, ROUND(J121/Source!I34, 2), 0)</f>
        <v>242.89</v>
      </c>
      <c r="P121" s="25">
        <f>J121</f>
        <v>18823.98</v>
      </c>
    </row>
    <row r="122" spans="1:22" ht="55.2" x14ac:dyDescent="0.3">
      <c r="A122" s="20">
        <v>12</v>
      </c>
      <c r="B122" s="20">
        <v>12</v>
      </c>
      <c r="C122" s="20" t="str">
        <f>Source!F35</f>
        <v>5.4-3105-4-2/1</v>
      </c>
      <c r="D122" s="20" t="str">
        <f>Source!G35</f>
        <v>Перевозка порубочных остатков автосамосвалами грузоподъемностью до 15 т - добавляется на каждый последующий 1 км до 100 км</v>
      </c>
      <c r="E122" s="21" t="str">
        <f>Source!H35</f>
        <v>т</v>
      </c>
      <c r="F122" s="9">
        <f>Source!I35</f>
        <v>77.5</v>
      </c>
      <c r="G122" s="23"/>
      <c r="H122" s="22"/>
      <c r="I122" s="9"/>
      <c r="J122" s="9"/>
      <c r="K122" s="23"/>
      <c r="L122" s="23"/>
      <c r="Q122">
        <f>ROUND((Source!BZ35/100)*ROUND((Source!AF35*Source!AV35)*Source!I35, 2), 2)</f>
        <v>0</v>
      </c>
      <c r="R122">
        <f>Source!X35</f>
        <v>0</v>
      </c>
      <c r="S122">
        <f>ROUND((Source!CA35/100)*ROUND((Source!AF35*Source!AV35)*Source!I35, 2), 2)</f>
        <v>0</v>
      </c>
      <c r="T122">
        <f>Source!Y35</f>
        <v>0</v>
      </c>
      <c r="U122">
        <f>ROUND((175/100)*ROUND((Source!AE35*Source!AV35)*Source!I35, 2), 2)</f>
        <v>178894.8</v>
      </c>
      <c r="V122">
        <f>ROUND((108/100)*ROUND(Source!CS35*Source!I35, 2), 2)</f>
        <v>110403.65</v>
      </c>
    </row>
    <row r="123" spans="1:22" ht="14.4" x14ac:dyDescent="0.3">
      <c r="A123" s="20"/>
      <c r="B123" s="20"/>
      <c r="C123" s="20"/>
      <c r="D123" s="20" t="s">
        <v>186</v>
      </c>
      <c r="E123" s="21"/>
      <c r="F123" s="9"/>
      <c r="G123" s="23">
        <f>Source!AM35</f>
        <v>39.9</v>
      </c>
      <c r="H123" s="22" t="str">
        <f>Source!DE35</f>
        <v>)*64</v>
      </c>
      <c r="I123" s="9">
        <f>Source!AV35</f>
        <v>1</v>
      </c>
      <c r="J123" s="9">
        <f>IF(Source!BB35&lt;&gt; 0, Source!BB35, 1)</f>
        <v>1</v>
      </c>
      <c r="K123" s="23">
        <f>Source!Q35</f>
        <v>197904</v>
      </c>
      <c r="L123" s="23"/>
    </row>
    <row r="124" spans="1:22" ht="14.4" x14ac:dyDescent="0.3">
      <c r="A124" s="20"/>
      <c r="B124" s="20"/>
      <c r="C124" s="20"/>
      <c r="D124" s="20" t="s">
        <v>187</v>
      </c>
      <c r="E124" s="21"/>
      <c r="F124" s="9"/>
      <c r="G124" s="23">
        <f>Source!AN35</f>
        <v>20.61</v>
      </c>
      <c r="H124" s="22" t="str">
        <f>Source!DF35</f>
        <v>)*64</v>
      </c>
      <c r="I124" s="9">
        <f>Source!AV35</f>
        <v>1</v>
      </c>
      <c r="J124" s="9">
        <f>IF(Source!BS35&lt;&gt; 0, Source!BS35, 1)</f>
        <v>1</v>
      </c>
      <c r="K124" s="24">
        <f>Source!R35</f>
        <v>102225.60000000001</v>
      </c>
      <c r="L124" s="23"/>
    </row>
    <row r="125" spans="1:22" ht="13.8" x14ac:dyDescent="0.25">
      <c r="A125" s="27"/>
      <c r="B125" s="27"/>
      <c r="C125" s="27"/>
      <c r="D125" s="27"/>
      <c r="E125" s="27"/>
      <c r="F125" s="27"/>
      <c r="G125" s="27"/>
      <c r="H125" s="27"/>
      <c r="I125" s="27"/>
      <c r="J125" s="74">
        <f>K123</f>
        <v>197904</v>
      </c>
      <c r="K125" s="74"/>
      <c r="L125" s="28">
        <f>IF(Source!I35&lt;&gt;0, ROUND(J125/Source!I35, 2), 0)</f>
        <v>2553.6</v>
      </c>
      <c r="P125" s="25">
        <f>J125</f>
        <v>197904</v>
      </c>
    </row>
    <row r="127" spans="1:22" ht="13.8" x14ac:dyDescent="0.25">
      <c r="A127" s="70" t="str">
        <f>CONCATENATE("Итого по локальной смете: ",IF(Source!G37&lt;&gt;"Новая локальная смета", Source!G37, ""))</f>
        <v xml:space="preserve">Итого по локальной смете: </v>
      </c>
      <c r="B127" s="70"/>
      <c r="C127" s="70"/>
      <c r="D127" s="70"/>
      <c r="E127" s="70"/>
      <c r="F127" s="70"/>
      <c r="G127" s="70"/>
      <c r="H127" s="70"/>
      <c r="I127" s="70"/>
      <c r="J127" s="68">
        <f>SUM(P38:P126)</f>
        <v>2122941.9700000002</v>
      </c>
      <c r="K127" s="69"/>
      <c r="L127" s="29"/>
    </row>
    <row r="129" spans="1:12" ht="13.8" x14ac:dyDescent="0.25">
      <c r="D129" s="71" t="str">
        <f>Source!H66</f>
        <v>НДС-20%</v>
      </c>
      <c r="E129" s="71"/>
      <c r="F129" s="71"/>
      <c r="G129" s="71"/>
      <c r="H129" s="71"/>
      <c r="I129" s="71"/>
      <c r="J129" s="72">
        <f>IF(Source!F66=0, "", Source!F66)</f>
        <v>424588.39</v>
      </c>
      <c r="K129" s="72"/>
    </row>
    <row r="130" spans="1:12" ht="13.8" x14ac:dyDescent="0.25">
      <c r="D130" s="71" t="str">
        <f>Source!H67</f>
        <v>Итого  с НДС</v>
      </c>
      <c r="E130" s="71"/>
      <c r="F130" s="71"/>
      <c r="G130" s="71"/>
      <c r="H130" s="71"/>
      <c r="I130" s="71"/>
      <c r="J130" s="72">
        <f>IF(Source!F67=0, "", Source!F67)</f>
        <v>2547530.36</v>
      </c>
      <c r="K130" s="72"/>
    </row>
    <row r="132" spans="1:12" ht="13.8" x14ac:dyDescent="0.25">
      <c r="A132" s="70" t="str">
        <f>CONCATENATE("Итого по смете: ",IF(Source!G69&lt;&gt;"Новый объект", Source!G69, ""))</f>
        <v>Итого по смете: Красная Пахра_(Копия)</v>
      </c>
      <c r="B132" s="70"/>
      <c r="C132" s="70"/>
      <c r="D132" s="70"/>
      <c r="E132" s="70"/>
      <c r="F132" s="70"/>
      <c r="G132" s="70"/>
      <c r="H132" s="70"/>
      <c r="I132" s="70"/>
      <c r="J132" s="68">
        <f>SUM(P1:P131)</f>
        <v>2122941.9700000002</v>
      </c>
      <c r="K132" s="69"/>
      <c r="L132" s="29"/>
    </row>
    <row r="133" spans="1:12" ht="13.8" x14ac:dyDescent="0.25">
      <c r="D133" s="71" t="str">
        <f>Source!H98</f>
        <v>НДС-20%</v>
      </c>
      <c r="E133" s="71"/>
      <c r="F133" s="71"/>
      <c r="G133" s="71"/>
      <c r="H133" s="71"/>
      <c r="I133" s="71"/>
      <c r="J133" s="72">
        <f>IF(Source!F98=0, "", Source!F98)</f>
        <v>424588.39</v>
      </c>
      <c r="K133" s="72"/>
    </row>
    <row r="134" spans="1:12" ht="13.8" x14ac:dyDescent="0.25">
      <c r="D134" s="71" t="str">
        <f>Source!H99</f>
        <v>Итого  с НДС</v>
      </c>
      <c r="E134" s="71"/>
      <c r="F134" s="71"/>
      <c r="G134" s="71"/>
      <c r="H134" s="71"/>
      <c r="I134" s="71"/>
      <c r="J134" s="72">
        <f>IF(Source!F99=0, "", Source!F99)</f>
        <v>2547530.36</v>
      </c>
      <c r="K134" s="72"/>
    </row>
    <row r="137" spans="1:12" ht="13.8" x14ac:dyDescent="0.25">
      <c r="A137" s="10"/>
      <c r="B137" s="73" t="s">
        <v>245</v>
      </c>
      <c r="C137" s="73"/>
      <c r="D137" s="30" t="str">
        <f>IF(Source!AM12&lt;&gt;"", Source!AM12," ")</f>
        <v xml:space="preserve"> </v>
      </c>
      <c r="E137" s="30"/>
      <c r="F137" s="30"/>
      <c r="G137" s="30"/>
      <c r="H137" s="30"/>
      <c r="I137" s="10" t="str">
        <f>IF(Source!AL12&lt;&gt;"", Source!AL12," ")</f>
        <v xml:space="preserve"> </v>
      </c>
      <c r="J137" s="10"/>
      <c r="K137" s="10"/>
    </row>
    <row r="138" spans="1:12" ht="13.8" x14ac:dyDescent="0.25">
      <c r="A138" s="10"/>
      <c r="B138" s="10"/>
      <c r="C138" s="10"/>
      <c r="D138" s="67" t="s">
        <v>196</v>
      </c>
      <c r="E138" s="67"/>
      <c r="F138" s="67"/>
      <c r="G138" s="67"/>
      <c r="H138" s="67"/>
      <c r="I138" s="10"/>
      <c r="J138" s="10"/>
      <c r="K138" s="10"/>
    </row>
    <row r="139" spans="1:12" ht="13.8" x14ac:dyDescent="0.25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</row>
    <row r="140" spans="1:12" ht="13.8" x14ac:dyDescent="0.25">
      <c r="A140" s="10"/>
      <c r="B140" s="73" t="s">
        <v>246</v>
      </c>
      <c r="C140" s="73"/>
      <c r="D140" s="30" t="str">
        <f>IF(Source!AI12&lt;&gt;"", Source!AI12," ")</f>
        <v xml:space="preserve"> </v>
      </c>
      <c r="E140" s="30"/>
      <c r="F140" s="30"/>
      <c r="G140" s="30"/>
      <c r="H140" s="30"/>
      <c r="I140" s="10" t="str">
        <f>IF(Source!AH12&lt;&gt;"", Source!AH12," ")</f>
        <v xml:space="preserve"> </v>
      </c>
      <c r="J140" s="10"/>
      <c r="K140" s="10"/>
    </row>
    <row r="141" spans="1:12" ht="13.8" x14ac:dyDescent="0.25">
      <c r="A141" s="10"/>
      <c r="B141" s="10"/>
      <c r="C141" s="10"/>
      <c r="D141" s="67" t="s">
        <v>196</v>
      </c>
      <c r="E141" s="67"/>
      <c r="F141" s="67"/>
      <c r="G141" s="67"/>
      <c r="H141" s="67"/>
      <c r="I141" s="10"/>
      <c r="J141" s="10"/>
      <c r="K141" s="10"/>
    </row>
  </sheetData>
  <mergeCells count="73">
    <mergeCell ref="I2:L2"/>
    <mergeCell ref="I3:L3"/>
    <mergeCell ref="I4:L4"/>
    <mergeCell ref="J6:L6"/>
    <mergeCell ref="J7:L7"/>
    <mergeCell ref="C9:H9"/>
    <mergeCell ref="C10:H10"/>
    <mergeCell ref="J10:L11"/>
    <mergeCell ref="C11:H11"/>
    <mergeCell ref="C12:H12"/>
    <mergeCell ref="J12:L13"/>
    <mergeCell ref="C13:H13"/>
    <mergeCell ref="J8:L9"/>
    <mergeCell ref="C14:H14"/>
    <mergeCell ref="J14:L15"/>
    <mergeCell ref="C15:H15"/>
    <mergeCell ref="C16:H16"/>
    <mergeCell ref="J16:L17"/>
    <mergeCell ref="C17:H17"/>
    <mergeCell ref="A29:L29"/>
    <mergeCell ref="C18:H18"/>
    <mergeCell ref="G19:I19"/>
    <mergeCell ref="J19:L19"/>
    <mergeCell ref="G20:H20"/>
    <mergeCell ref="J20:L20"/>
    <mergeCell ref="J21:L21"/>
    <mergeCell ref="J22:L22"/>
    <mergeCell ref="G24:G25"/>
    <mergeCell ref="H24:H25"/>
    <mergeCell ref="I24:J24"/>
    <mergeCell ref="A28:L28"/>
    <mergeCell ref="H31:I31"/>
    <mergeCell ref="A33:B33"/>
    <mergeCell ref="C33:C35"/>
    <mergeCell ref="D33:D35"/>
    <mergeCell ref="E33:E35"/>
    <mergeCell ref="F33:F35"/>
    <mergeCell ref="G33:G35"/>
    <mergeCell ref="H33:H35"/>
    <mergeCell ref="I33:I35"/>
    <mergeCell ref="J96:K96"/>
    <mergeCell ref="J33:J35"/>
    <mergeCell ref="K33:K35"/>
    <mergeCell ref="A34:A35"/>
    <mergeCell ref="B34:B35"/>
    <mergeCell ref="A38:L38"/>
    <mergeCell ref="J47:K47"/>
    <mergeCell ref="J53:K53"/>
    <mergeCell ref="J62:K62"/>
    <mergeCell ref="J68:K68"/>
    <mergeCell ref="J78:K78"/>
    <mergeCell ref="J87:K87"/>
    <mergeCell ref="J132:K132"/>
    <mergeCell ref="A132:I132"/>
    <mergeCell ref="J105:K105"/>
    <mergeCell ref="J111:K111"/>
    <mergeCell ref="J117:K117"/>
    <mergeCell ref="J121:K121"/>
    <mergeCell ref="J125:K125"/>
    <mergeCell ref="J127:K127"/>
    <mergeCell ref="A127:I127"/>
    <mergeCell ref="D129:I129"/>
    <mergeCell ref="J129:K129"/>
    <mergeCell ref="D130:I130"/>
    <mergeCell ref="J130:K130"/>
    <mergeCell ref="B140:C140"/>
    <mergeCell ref="D141:H141"/>
    <mergeCell ref="D133:I133"/>
    <mergeCell ref="J133:K133"/>
    <mergeCell ref="D134:I134"/>
    <mergeCell ref="J134:K134"/>
    <mergeCell ref="B137:C137"/>
    <mergeCell ref="D138:H138"/>
  </mergeCells>
  <pageMargins left="0.4" right="0.2" top="0.2" bottom="0.4" header="0.2" footer="0.2"/>
  <pageSetup paperSize="9" scale="62" fitToHeight="0" orientation="portrait" verticalDpi="0" r:id="rId1"/>
  <headerFooter>
    <oddHeader>&amp;L&amp;8</oddHead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8"/>
  <sheetViews>
    <sheetView workbookViewId="0"/>
  </sheetViews>
  <sheetFormatPr defaultRowHeight="13.2" x14ac:dyDescent="0.25"/>
  <sheetData>
    <row r="1" spans="1:28" x14ac:dyDescent="0.25">
      <c r="A1" t="s">
        <v>275</v>
      </c>
      <c r="B1" t="s">
        <v>277</v>
      </c>
      <c r="C1" t="s">
        <v>278</v>
      </c>
      <c r="D1" t="s">
        <v>279</v>
      </c>
      <c r="E1" t="s">
        <v>280</v>
      </c>
      <c r="F1" t="s">
        <v>281</v>
      </c>
      <c r="G1" t="s">
        <v>282</v>
      </c>
      <c r="H1" t="s">
        <v>283</v>
      </c>
      <c r="I1" t="s">
        <v>284</v>
      </c>
      <c r="J1" t="s">
        <v>285</v>
      </c>
      <c r="K1" t="s">
        <v>286</v>
      </c>
      <c r="L1" t="s">
        <v>287</v>
      </c>
      <c r="M1" t="s">
        <v>288</v>
      </c>
      <c r="N1" t="s">
        <v>289</v>
      </c>
      <c r="O1" t="s">
        <v>276</v>
      </c>
    </row>
    <row r="2" spans="1:28" x14ac:dyDescent="0.25">
      <c r="A2">
        <v>1</v>
      </c>
      <c r="B2">
        <v>0</v>
      </c>
      <c r="C2">
        <v>0</v>
      </c>
      <c r="D2">
        <v>1</v>
      </c>
      <c r="E2">
        <v>1</v>
      </c>
      <c r="F2">
        <v>1</v>
      </c>
      <c r="G2">
        <v>1</v>
      </c>
      <c r="H2">
        <v>0</v>
      </c>
      <c r="I2">
        <v>1</v>
      </c>
      <c r="J2">
        <v>0</v>
      </c>
      <c r="K2">
        <v>1</v>
      </c>
      <c r="L2">
        <v>48805144</v>
      </c>
      <c r="M2">
        <v>0</v>
      </c>
      <c r="N2">
        <v>0</v>
      </c>
      <c r="O2">
        <v>0</v>
      </c>
    </row>
    <row r="4" spans="1:28" x14ac:dyDescent="0.25">
      <c r="A4" t="s">
        <v>247</v>
      </c>
      <c r="B4" t="s">
        <v>248</v>
      </c>
      <c r="C4" t="s">
        <v>249</v>
      </c>
      <c r="D4" t="s">
        <v>250</v>
      </c>
      <c r="E4" t="s">
        <v>251</v>
      </c>
      <c r="F4" t="s">
        <v>252</v>
      </c>
      <c r="G4" t="s">
        <v>253</v>
      </c>
      <c r="H4" t="s">
        <v>254</v>
      </c>
      <c r="I4" t="s">
        <v>255</v>
      </c>
      <c r="J4" t="s">
        <v>256</v>
      </c>
      <c r="K4" t="s">
        <v>257</v>
      </c>
      <c r="L4" t="s">
        <v>258</v>
      </c>
      <c r="M4" t="s">
        <v>259</v>
      </c>
      <c r="N4" t="s">
        <v>260</v>
      </c>
      <c r="O4" t="s">
        <v>261</v>
      </c>
      <c r="P4" t="s">
        <v>262</v>
      </c>
      <c r="Q4" t="s">
        <v>263</v>
      </c>
      <c r="R4" t="s">
        <v>264</v>
      </c>
      <c r="S4" t="s">
        <v>265</v>
      </c>
      <c r="T4" t="s">
        <v>266</v>
      </c>
      <c r="U4" t="s">
        <v>270</v>
      </c>
      <c r="V4" t="s">
        <v>271</v>
      </c>
      <c r="W4" t="s">
        <v>272</v>
      </c>
      <c r="X4" t="s">
        <v>273</v>
      </c>
      <c r="Y4" t="s">
        <v>274</v>
      </c>
      <c r="Z4" t="s">
        <v>267</v>
      </c>
      <c r="AA4" t="s">
        <v>268</v>
      </c>
      <c r="AB4" t="s">
        <v>269</v>
      </c>
    </row>
    <row r="6" spans="1:28" x14ac:dyDescent="0.25">
      <c r="A6">
        <f>Source!A20</f>
        <v>3</v>
      </c>
      <c r="B6">
        <v>20</v>
      </c>
      <c r="G6" t="str">
        <f>Source!G20</f>
        <v>Новая локальная смета</v>
      </c>
    </row>
    <row r="7" spans="1:28" x14ac:dyDescent="0.25">
      <c r="A7">
        <v>20</v>
      </c>
      <c r="B7">
        <v>11</v>
      </c>
      <c r="C7">
        <v>3</v>
      </c>
      <c r="D7">
        <v>0</v>
      </c>
      <c r="E7">
        <f>SmtRes!AV11</f>
        <v>0</v>
      </c>
      <c r="F7" t="str">
        <f>SmtRes!I11</f>
        <v>21.1-6-44</v>
      </c>
      <c r="G7" t="str">
        <f>SmtRes!K11</f>
        <v>Краски масляные жидкотертые цветные (готовые к употреблению) для наружных и внутренних работ, марка МА-15</v>
      </c>
      <c r="H7" t="str">
        <f>SmtRes!O11</f>
        <v>кг</v>
      </c>
      <c r="I7">
        <f>SmtRes!Y11*Source!I28</f>
        <v>33.96</v>
      </c>
      <c r="J7">
        <f>SmtRes!AO11</f>
        <v>1</v>
      </c>
      <c r="K7">
        <f>SmtRes!AE11</f>
        <v>109.86748</v>
      </c>
      <c r="L7">
        <f>SmtRes!DB11</f>
        <v>13.18</v>
      </c>
      <c r="M7">
        <f>ROUND(ROUND(L7*Source!I28, 6)*1, 2)</f>
        <v>3729.94</v>
      </c>
      <c r="N7">
        <f>SmtRes!AA11</f>
        <v>109.87</v>
      </c>
      <c r="O7">
        <f>ROUND(ROUND(L7*Source!I28, 6)*SmtRes!DA11, 2)</f>
        <v>3729.94</v>
      </c>
      <c r="P7">
        <f>SmtRes!AG11</f>
        <v>0</v>
      </c>
      <c r="Q7">
        <f>SmtRes!DC11</f>
        <v>0</v>
      </c>
      <c r="R7">
        <f>ROUND(ROUND(Q7*Source!I28, 6)*1, 2)</f>
        <v>0</v>
      </c>
      <c r="S7">
        <f>SmtRes!AC11</f>
        <v>0</v>
      </c>
      <c r="T7">
        <f>ROUND(ROUND(Q7*Source!I28, 6)*SmtRes!AK11, 2)</f>
        <v>0</v>
      </c>
      <c r="U7">
        <v>3</v>
      </c>
      <c r="Z7">
        <f>SmtRes!X11</f>
        <v>1173620707</v>
      </c>
      <c r="AA7">
        <v>806631378</v>
      </c>
      <c r="AB7">
        <v>-1419375592</v>
      </c>
    </row>
    <row r="8" spans="1:28" x14ac:dyDescent="0.25">
      <c r="A8">
        <v>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Q11"/>
  <sheetViews>
    <sheetView workbookViewId="0"/>
  </sheetViews>
  <sheetFormatPr defaultRowHeight="13.2" x14ac:dyDescent="0.25"/>
  <cols>
    <col min="1" max="1" width="18.88671875" customWidth="1"/>
    <col min="2" max="2" width="40.88671875" customWidth="1"/>
    <col min="3" max="8" width="12.88671875" customWidth="1"/>
    <col min="15" max="18" width="0" hidden="1" customWidth="1"/>
  </cols>
  <sheetData>
    <row r="2" spans="1:17" ht="16.8" x14ac:dyDescent="0.25">
      <c r="A2" s="110" t="s">
        <v>290</v>
      </c>
      <c r="B2" s="111"/>
      <c r="C2" s="111"/>
      <c r="D2" s="111"/>
      <c r="E2" s="111"/>
      <c r="F2" s="111"/>
      <c r="G2" s="111"/>
      <c r="H2" s="111"/>
    </row>
    <row r="3" spans="1:17" ht="16.8" x14ac:dyDescent="0.25">
      <c r="A3" s="110" t="str">
        <f>CONCATENATE("Объект: ",IF(Source!G69&lt;&gt;"Новый объект", Source!G69, ""))</f>
        <v>Объект: Красная Пахра_(Копия)</v>
      </c>
      <c r="B3" s="111"/>
      <c r="C3" s="111"/>
      <c r="D3" s="111"/>
      <c r="E3" s="111"/>
      <c r="F3" s="111"/>
      <c r="G3" s="111"/>
      <c r="H3" s="111"/>
    </row>
    <row r="4" spans="1:17" x14ac:dyDescent="0.25">
      <c r="A4" s="75" t="s">
        <v>291</v>
      </c>
      <c r="B4" s="75" t="s">
        <v>292</v>
      </c>
      <c r="C4" s="75" t="s">
        <v>174</v>
      </c>
      <c r="D4" s="75" t="s">
        <v>293</v>
      </c>
      <c r="E4" s="117" t="s">
        <v>294</v>
      </c>
      <c r="F4" s="118"/>
      <c r="G4" s="117" t="s">
        <v>297</v>
      </c>
      <c r="H4" s="118"/>
    </row>
    <row r="5" spans="1:17" x14ac:dyDescent="0.25">
      <c r="A5" s="76"/>
      <c r="B5" s="76"/>
      <c r="C5" s="76"/>
      <c r="D5" s="76"/>
      <c r="E5" s="119"/>
      <c r="F5" s="120"/>
      <c r="G5" s="119"/>
      <c r="H5" s="120"/>
    </row>
    <row r="6" spans="1:17" ht="13.8" x14ac:dyDescent="0.25">
      <c r="A6" s="116"/>
      <c r="B6" s="116"/>
      <c r="C6" s="116"/>
      <c r="D6" s="116"/>
      <c r="E6" s="19" t="s">
        <v>295</v>
      </c>
      <c r="F6" s="19" t="s">
        <v>296</v>
      </c>
      <c r="G6" s="19" t="s">
        <v>295</v>
      </c>
      <c r="H6" s="19" t="s">
        <v>296</v>
      </c>
    </row>
    <row r="7" spans="1:17" ht="13.8" x14ac:dyDescent="0.25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</row>
    <row r="8" spans="1:17" ht="16.8" x14ac:dyDescent="0.25">
      <c r="A8" s="110" t="str">
        <f>CONCATENATE("Локальная смета: ",IF(Source!G22&lt;&gt;"Новая локальная смета", Source!G22, ""))</f>
        <v xml:space="preserve">Локальная смета: </v>
      </c>
      <c r="B8" s="111"/>
      <c r="C8" s="111"/>
      <c r="D8" s="111"/>
      <c r="E8" s="111"/>
      <c r="F8" s="111"/>
      <c r="G8" s="111"/>
      <c r="H8" s="111"/>
    </row>
    <row r="9" spans="1:17" ht="13.8" x14ac:dyDescent="0.25">
      <c r="A9" s="112" t="s">
        <v>298</v>
      </c>
      <c r="B9" s="113"/>
      <c r="C9" s="113"/>
      <c r="D9" s="113"/>
      <c r="E9" s="113"/>
      <c r="F9" s="113"/>
      <c r="G9" s="113"/>
      <c r="H9" s="113"/>
    </row>
    <row r="10" spans="1:17" ht="41.4" x14ac:dyDescent="0.25">
      <c r="A10" s="59" t="s">
        <v>146</v>
      </c>
      <c r="B10" s="44" t="s">
        <v>147</v>
      </c>
      <c r="C10" s="44" t="s">
        <v>148</v>
      </c>
      <c r="D10" s="45">
        <f>ROUND(SUMIF(RV_DATA!AB7:AB7, -1419375592, RV_DATA!I7:I7), 6)</f>
        <v>33.96</v>
      </c>
      <c r="E10" s="60">
        <f>ROUND(RV_DATA!K7, 6)</f>
        <v>109.86748</v>
      </c>
      <c r="F10" s="60">
        <f>ROUND(SUMIF(RV_DATA!AB7:AB7, -1419375592, RV_DATA!M7:M7), 6)</f>
        <v>3729.94</v>
      </c>
      <c r="G10" s="60">
        <f>ROUND(RV_DATA!N7, 6)</f>
        <v>109.87</v>
      </c>
      <c r="H10" s="60">
        <f>ROUND(SUMIF(RV_DATA!AB7:AB7, -1419375592, RV_DATA!O7:O7), 6)</f>
        <v>3729.94</v>
      </c>
      <c r="Q10">
        <v>3</v>
      </c>
    </row>
    <row r="11" spans="1:17" ht="13.8" x14ac:dyDescent="0.25">
      <c r="A11" s="114" t="s">
        <v>299</v>
      </c>
      <c r="B11" s="114"/>
      <c r="C11" s="114"/>
      <c r="D11" s="114"/>
      <c r="E11" s="115">
        <f>SUMIF(Q10:Q10, 3, F10:F10)</f>
        <v>3729.94</v>
      </c>
      <c r="F11" s="115"/>
      <c r="G11" s="115">
        <f>SUMIF(Q10:Q10, 3, H10:H10)</f>
        <v>3729.94</v>
      </c>
      <c r="H11" s="114"/>
    </row>
  </sheetData>
  <sortState xmlns:xlrd2="http://schemas.microsoft.com/office/spreadsheetml/2017/richdata2" ref="A10:Q10">
    <sortCondition ref="A10"/>
  </sortState>
  <mergeCells count="13">
    <mergeCell ref="A2:H2"/>
    <mergeCell ref="A3:H3"/>
    <mergeCell ref="A4:A6"/>
    <mergeCell ref="B4:B6"/>
    <mergeCell ref="C4:C6"/>
    <mergeCell ref="D4:D6"/>
    <mergeCell ref="E4:F5"/>
    <mergeCell ref="G4:H5"/>
    <mergeCell ref="A8:H8"/>
    <mergeCell ref="A9:H9"/>
    <mergeCell ref="A11:D11"/>
    <mergeCell ref="E11:F11"/>
    <mergeCell ref="G11:H11"/>
  </mergeCells>
  <pageMargins left="0.6" right="0.4" top="0.65" bottom="0.4" header="0.4" footer="0.4"/>
  <pageSetup paperSize="9" scale="69" fitToHeight="0" orientation="portrait" verticalDpi="0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52"/>
  <sheetViews>
    <sheetView zoomScaleNormal="100" workbookViewId="0">
      <selection sqref="A1:D1"/>
    </sheetView>
  </sheetViews>
  <sheetFormatPr defaultRowHeight="13.2" x14ac:dyDescent="0.25"/>
  <cols>
    <col min="1" max="1" width="5.88671875" customWidth="1"/>
    <col min="2" max="2" width="22.88671875" customWidth="1"/>
    <col min="10" max="11" width="11.109375" customWidth="1"/>
  </cols>
  <sheetData>
    <row r="1" spans="1:12" ht="13.8" x14ac:dyDescent="0.25">
      <c r="A1" s="171" t="str">
        <f>Source!B1</f>
        <v>Smeta.RU  (495) 974-1589</v>
      </c>
      <c r="B1" s="171"/>
      <c r="C1" s="171"/>
      <c r="D1" s="171"/>
      <c r="E1" s="10"/>
      <c r="F1" s="10"/>
      <c r="G1" s="10"/>
      <c r="H1" s="172" t="s">
        <v>300</v>
      </c>
      <c r="I1" s="172"/>
      <c r="J1" s="172"/>
      <c r="K1" s="172"/>
      <c r="L1" s="172"/>
    </row>
    <row r="2" spans="1:12" ht="13.8" x14ac:dyDescent="0.25">
      <c r="A2" s="10"/>
      <c r="B2" s="10"/>
      <c r="C2" s="10"/>
      <c r="D2" s="10"/>
      <c r="E2" s="10"/>
      <c r="F2" s="10"/>
      <c r="G2" s="10"/>
      <c r="H2" s="172" t="s">
        <v>214</v>
      </c>
      <c r="I2" s="172"/>
      <c r="J2" s="172"/>
      <c r="K2" s="172"/>
      <c r="L2" s="172"/>
    </row>
    <row r="3" spans="1:12" ht="13.8" x14ac:dyDescent="0.25">
      <c r="A3" s="10"/>
      <c r="B3" s="10"/>
      <c r="C3" s="10"/>
      <c r="D3" s="10"/>
      <c r="E3" s="10"/>
      <c r="F3" s="10"/>
      <c r="G3" s="10"/>
      <c r="H3" s="172" t="s">
        <v>215</v>
      </c>
      <c r="I3" s="172"/>
      <c r="J3" s="172"/>
      <c r="K3" s="172"/>
      <c r="L3" s="172"/>
    </row>
    <row r="4" spans="1:12" ht="13.8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27" t="s">
        <v>301</v>
      </c>
      <c r="L4" s="129"/>
    </row>
    <row r="5" spans="1:12" ht="13.8" x14ac:dyDescent="0.25">
      <c r="A5" s="10"/>
      <c r="B5" s="10"/>
      <c r="C5" s="10"/>
      <c r="D5" s="10"/>
      <c r="E5" s="10"/>
      <c r="F5" s="10"/>
      <c r="G5" s="10"/>
      <c r="H5" s="10"/>
      <c r="I5" s="78" t="s">
        <v>217</v>
      </c>
      <c r="J5" s="78"/>
      <c r="K5" s="127">
        <v>322001</v>
      </c>
      <c r="L5" s="129"/>
    </row>
    <row r="6" spans="1:12" ht="13.8" x14ac:dyDescent="0.25">
      <c r="A6" s="78" t="s">
        <v>302</v>
      </c>
      <c r="B6" s="78"/>
      <c r="C6" s="168"/>
      <c r="D6" s="168"/>
      <c r="E6" s="168"/>
      <c r="F6" s="168"/>
      <c r="G6" s="168"/>
      <c r="H6" s="168"/>
      <c r="I6" s="168"/>
      <c r="J6" s="9" t="s">
        <v>220</v>
      </c>
      <c r="K6" s="127"/>
      <c r="L6" s="129"/>
    </row>
    <row r="7" spans="1:12" ht="13.8" x14ac:dyDescent="0.25">
      <c r="A7" s="10"/>
      <c r="B7" s="10"/>
      <c r="C7" s="67" t="s">
        <v>221</v>
      </c>
      <c r="D7" s="67"/>
      <c r="E7" s="67"/>
      <c r="F7" s="67"/>
      <c r="G7" s="67"/>
      <c r="H7" s="67"/>
      <c r="I7" s="67"/>
      <c r="J7" s="10"/>
      <c r="K7" s="51"/>
      <c r="L7" s="61"/>
    </row>
    <row r="8" spans="1:12" ht="13.8" x14ac:dyDescent="0.25">
      <c r="A8" s="78" t="s">
        <v>303</v>
      </c>
      <c r="B8" s="78"/>
      <c r="C8" s="168"/>
      <c r="D8" s="168"/>
      <c r="E8" s="168"/>
      <c r="F8" s="168"/>
      <c r="G8" s="168"/>
      <c r="H8" s="168"/>
      <c r="I8" s="30"/>
      <c r="J8" s="9" t="s">
        <v>220</v>
      </c>
      <c r="K8" s="169"/>
      <c r="L8" s="170"/>
    </row>
    <row r="9" spans="1:12" ht="13.8" x14ac:dyDescent="0.25">
      <c r="A9" s="10"/>
      <c r="B9" s="10"/>
      <c r="C9" s="67" t="s">
        <v>221</v>
      </c>
      <c r="D9" s="67"/>
      <c r="E9" s="67"/>
      <c r="F9" s="67"/>
      <c r="G9" s="67"/>
      <c r="H9" s="67"/>
      <c r="I9" s="67"/>
      <c r="J9" s="10"/>
      <c r="K9" s="51"/>
      <c r="L9" s="61"/>
    </row>
    <row r="10" spans="1:12" ht="13.8" x14ac:dyDescent="0.25">
      <c r="A10" s="78" t="s">
        <v>304</v>
      </c>
      <c r="B10" s="78"/>
      <c r="C10" s="168"/>
      <c r="D10" s="168"/>
      <c r="E10" s="168"/>
      <c r="F10" s="168"/>
      <c r="G10" s="168"/>
      <c r="H10" s="168"/>
      <c r="I10" s="168"/>
      <c r="J10" s="9" t="s">
        <v>220</v>
      </c>
      <c r="K10" s="169"/>
      <c r="L10" s="170"/>
    </row>
    <row r="11" spans="1:12" ht="13.8" x14ac:dyDescent="0.25">
      <c r="A11" s="10"/>
      <c r="B11" s="10"/>
      <c r="C11" s="67" t="s">
        <v>221</v>
      </c>
      <c r="D11" s="67"/>
      <c r="E11" s="67"/>
      <c r="F11" s="67"/>
      <c r="G11" s="67"/>
      <c r="H11" s="67"/>
      <c r="I11" s="67"/>
      <c r="J11" s="10"/>
      <c r="K11" s="51"/>
      <c r="L11" s="61"/>
    </row>
    <row r="12" spans="1:12" ht="13.8" x14ac:dyDescent="0.25">
      <c r="A12" s="78" t="s">
        <v>305</v>
      </c>
      <c r="B12" s="78"/>
      <c r="C12" s="168"/>
      <c r="D12" s="168"/>
      <c r="E12" s="168"/>
      <c r="F12" s="168"/>
      <c r="G12" s="168"/>
      <c r="H12" s="168"/>
      <c r="I12" s="168"/>
      <c r="J12" s="9" t="s">
        <v>220</v>
      </c>
      <c r="K12" s="169"/>
      <c r="L12" s="170"/>
    </row>
    <row r="13" spans="1:12" ht="13.8" x14ac:dyDescent="0.25">
      <c r="A13" s="10"/>
      <c r="B13" s="10"/>
      <c r="C13" s="67" t="s">
        <v>225</v>
      </c>
      <c r="D13" s="67"/>
      <c r="E13" s="67"/>
      <c r="F13" s="67"/>
      <c r="G13" s="67"/>
      <c r="H13" s="78" t="s">
        <v>306</v>
      </c>
      <c r="I13" s="78"/>
      <c r="J13" s="100"/>
      <c r="K13" s="127"/>
      <c r="L13" s="129"/>
    </row>
    <row r="14" spans="1:12" ht="13.8" x14ac:dyDescent="0.25">
      <c r="A14" s="10"/>
      <c r="B14" s="10"/>
      <c r="C14" s="10"/>
      <c r="D14" s="10"/>
      <c r="E14" s="78" t="s">
        <v>307</v>
      </c>
      <c r="F14" s="78"/>
      <c r="G14" s="78"/>
      <c r="H14" s="78"/>
      <c r="I14" s="167" t="s">
        <v>230</v>
      </c>
      <c r="J14" s="138"/>
      <c r="K14" s="127"/>
      <c r="L14" s="129"/>
    </row>
    <row r="15" spans="1:12" ht="13.8" x14ac:dyDescent="0.25">
      <c r="A15" s="10"/>
      <c r="B15" s="10"/>
      <c r="C15" s="10"/>
      <c r="D15" s="10"/>
      <c r="E15" s="10"/>
      <c r="F15" s="10"/>
      <c r="G15" s="10"/>
      <c r="H15" s="10"/>
      <c r="I15" s="149" t="s">
        <v>231</v>
      </c>
      <c r="J15" s="150"/>
      <c r="K15" s="151"/>
      <c r="L15" s="152"/>
    </row>
    <row r="16" spans="1:12" ht="13.8" x14ac:dyDescent="0.25">
      <c r="A16" s="10"/>
      <c r="B16" s="10"/>
      <c r="C16" s="10"/>
      <c r="D16" s="10"/>
      <c r="E16" s="10"/>
      <c r="F16" s="10"/>
      <c r="G16" s="10"/>
      <c r="H16" s="10"/>
      <c r="I16" s="138" t="s">
        <v>308</v>
      </c>
      <c r="J16" s="138"/>
      <c r="K16" s="153"/>
      <c r="L16" s="154"/>
    </row>
    <row r="17" spans="1:12" ht="13.8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ht="13.8" x14ac:dyDescent="0.2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2" ht="13.8" x14ac:dyDescent="0.25">
      <c r="A19" s="10"/>
      <c r="B19" s="10"/>
      <c r="C19" s="117" t="s">
        <v>233</v>
      </c>
      <c r="D19" s="155"/>
      <c r="E19" s="117" t="s">
        <v>234</v>
      </c>
      <c r="F19" s="118"/>
      <c r="G19" s="10"/>
      <c r="H19" s="10"/>
      <c r="I19" s="117" t="s">
        <v>235</v>
      </c>
      <c r="J19" s="155"/>
      <c r="K19" s="155"/>
      <c r="L19" s="118"/>
    </row>
    <row r="20" spans="1:12" ht="13.8" x14ac:dyDescent="0.25">
      <c r="A20" s="10"/>
      <c r="B20" s="10"/>
      <c r="C20" s="156"/>
      <c r="D20" s="157"/>
      <c r="E20" s="156"/>
      <c r="F20" s="158"/>
      <c r="G20" s="10"/>
      <c r="H20" s="10"/>
      <c r="I20" s="159" t="s">
        <v>236</v>
      </c>
      <c r="J20" s="160"/>
      <c r="K20" s="159" t="s">
        <v>237</v>
      </c>
      <c r="L20" s="161"/>
    </row>
    <row r="21" spans="1:12" ht="13.8" x14ac:dyDescent="0.25">
      <c r="A21" s="10"/>
      <c r="B21" s="10"/>
      <c r="C21" s="162"/>
      <c r="D21" s="163"/>
      <c r="E21" s="164"/>
      <c r="F21" s="165"/>
      <c r="G21" s="62"/>
      <c r="H21" s="62"/>
      <c r="I21" s="164"/>
      <c r="J21" s="166"/>
      <c r="K21" s="164"/>
      <c r="L21" s="165"/>
    </row>
    <row r="22" spans="1:12" ht="13.8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pans="1:12" ht="13.8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7.399999999999999" x14ac:dyDescent="0.3">
      <c r="A24" s="97" t="s">
        <v>309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17.399999999999999" x14ac:dyDescent="0.3">
      <c r="A25" s="97" t="s">
        <v>310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13.8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1:12" ht="13.8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3.8" x14ac:dyDescent="0.25">
      <c r="A28" s="143" t="s">
        <v>200</v>
      </c>
      <c r="B28" s="143" t="s">
        <v>311</v>
      </c>
      <c r="C28" s="145"/>
      <c r="D28" s="145"/>
      <c r="E28" s="145"/>
      <c r="F28" s="143" t="s">
        <v>216</v>
      </c>
      <c r="G28" s="143" t="s">
        <v>312</v>
      </c>
      <c r="H28" s="145"/>
      <c r="I28" s="145"/>
      <c r="J28" s="145"/>
      <c r="K28" s="145"/>
      <c r="L28" s="147"/>
    </row>
    <row r="29" spans="1:12" x14ac:dyDescent="0.25">
      <c r="A29" s="144"/>
      <c r="B29" s="144"/>
      <c r="C29" s="146"/>
      <c r="D29" s="146"/>
      <c r="E29" s="146"/>
      <c r="F29" s="144"/>
      <c r="G29" s="143" t="s">
        <v>313</v>
      </c>
      <c r="H29" s="145"/>
      <c r="I29" s="143" t="s">
        <v>314</v>
      </c>
      <c r="J29" s="145"/>
      <c r="K29" s="143" t="s">
        <v>315</v>
      </c>
      <c r="L29" s="147"/>
    </row>
    <row r="30" spans="1:12" x14ac:dyDescent="0.25">
      <c r="A30" s="144"/>
      <c r="B30" s="144"/>
      <c r="C30" s="146"/>
      <c r="D30" s="146"/>
      <c r="E30" s="146"/>
      <c r="F30" s="144"/>
      <c r="G30" s="144"/>
      <c r="H30" s="146"/>
      <c r="I30" s="144"/>
      <c r="J30" s="146"/>
      <c r="K30" s="144"/>
      <c r="L30" s="148"/>
    </row>
    <row r="31" spans="1:12" x14ac:dyDescent="0.25">
      <c r="A31" s="144"/>
      <c r="B31" s="144"/>
      <c r="C31" s="146"/>
      <c r="D31" s="146"/>
      <c r="E31" s="146"/>
      <c r="F31" s="144"/>
      <c r="G31" s="144"/>
      <c r="H31" s="146"/>
      <c r="I31" s="144"/>
      <c r="J31" s="146"/>
      <c r="K31" s="144"/>
      <c r="L31" s="148"/>
    </row>
    <row r="32" spans="1:12" x14ac:dyDescent="0.25">
      <c r="A32" s="144"/>
      <c r="B32" s="144"/>
      <c r="C32" s="146"/>
      <c r="D32" s="146"/>
      <c r="E32" s="146"/>
      <c r="F32" s="144"/>
      <c r="G32" s="144"/>
      <c r="H32" s="146"/>
      <c r="I32" s="144"/>
      <c r="J32" s="146"/>
      <c r="K32" s="144"/>
      <c r="L32" s="148"/>
    </row>
    <row r="33" spans="1:12" ht="13.8" x14ac:dyDescent="0.25">
      <c r="A33" s="51">
        <v>1</v>
      </c>
      <c r="B33" s="127">
        <v>2</v>
      </c>
      <c r="C33" s="128"/>
      <c r="D33" s="128"/>
      <c r="E33" s="128"/>
      <c r="F33" s="51">
        <v>3</v>
      </c>
      <c r="G33" s="127">
        <v>4</v>
      </c>
      <c r="H33" s="128"/>
      <c r="I33" s="127">
        <v>5</v>
      </c>
      <c r="J33" s="128"/>
      <c r="K33" s="127">
        <v>6</v>
      </c>
      <c r="L33" s="129"/>
    </row>
    <row r="34" spans="1:12" ht="13.8" x14ac:dyDescent="0.25">
      <c r="A34" s="63"/>
      <c r="B34" s="130" t="s">
        <v>316</v>
      </c>
      <c r="C34" s="131"/>
      <c r="D34" s="131"/>
      <c r="E34" s="131"/>
      <c r="F34" s="64"/>
      <c r="G34" s="132"/>
      <c r="H34" s="133"/>
      <c r="I34" s="132"/>
      <c r="J34" s="133"/>
      <c r="K34" s="132"/>
      <c r="L34" s="134"/>
    </row>
    <row r="35" spans="1:12" ht="13.8" x14ac:dyDescent="0.25">
      <c r="A35" s="65"/>
      <c r="B35" s="135" t="s">
        <v>317</v>
      </c>
      <c r="C35" s="136"/>
      <c r="D35" s="136"/>
      <c r="E35" s="136"/>
      <c r="F35" s="136"/>
      <c r="G35" s="136"/>
      <c r="H35" s="136"/>
      <c r="I35" s="136"/>
      <c r="J35" s="136"/>
      <c r="K35" s="131"/>
      <c r="L35" s="137"/>
    </row>
    <row r="36" spans="1:12" ht="13.8" x14ac:dyDescent="0.25">
      <c r="A36" s="138" t="s">
        <v>318</v>
      </c>
      <c r="B36" s="138"/>
      <c r="C36" s="138"/>
      <c r="D36" s="138"/>
      <c r="E36" s="138"/>
      <c r="F36" s="138"/>
      <c r="G36" s="138"/>
      <c r="H36" s="138"/>
      <c r="I36" s="138"/>
      <c r="J36" s="139"/>
      <c r="K36" s="140"/>
      <c r="L36" s="139"/>
    </row>
    <row r="37" spans="1:12" ht="13.8" x14ac:dyDescent="0.25">
      <c r="A37" s="124" t="s">
        <v>319</v>
      </c>
      <c r="B37" s="124"/>
      <c r="C37" s="124"/>
      <c r="D37" s="124"/>
      <c r="E37" s="124"/>
      <c r="F37" s="124"/>
      <c r="G37" s="124"/>
      <c r="H37" s="124"/>
      <c r="I37" s="124"/>
      <c r="J37" s="124"/>
      <c r="K37" s="141"/>
      <c r="L37" s="142"/>
    </row>
    <row r="38" spans="1:12" ht="13.8" x14ac:dyDescent="0.25">
      <c r="A38" s="124" t="s">
        <v>320</v>
      </c>
      <c r="B38" s="124"/>
      <c r="C38" s="124"/>
      <c r="D38" s="124"/>
      <c r="E38" s="124"/>
      <c r="F38" s="124"/>
      <c r="G38" s="124"/>
      <c r="H38" s="124"/>
      <c r="I38" s="124"/>
      <c r="J38" s="124"/>
      <c r="K38" s="125"/>
      <c r="L38" s="126"/>
    </row>
    <row r="39" spans="1:12" ht="13.8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2" spans="1:12" ht="13.8" x14ac:dyDescent="0.25">
      <c r="A42" s="121" t="s">
        <v>303</v>
      </c>
      <c r="B42" s="121"/>
      <c r="C42" s="122"/>
      <c r="D42" s="122"/>
      <c r="E42" s="122"/>
      <c r="F42" s="10"/>
      <c r="G42" s="122"/>
      <c r="H42" s="122"/>
      <c r="I42" s="10"/>
      <c r="J42" s="122"/>
      <c r="K42" s="122"/>
      <c r="L42" s="122"/>
    </row>
    <row r="43" spans="1:12" ht="13.8" x14ac:dyDescent="0.25">
      <c r="A43" s="10"/>
      <c r="B43" s="10"/>
      <c r="C43" s="123" t="s">
        <v>321</v>
      </c>
      <c r="D43" s="123"/>
      <c r="E43" s="123"/>
      <c r="F43" s="10"/>
      <c r="G43" s="123" t="s">
        <v>322</v>
      </c>
      <c r="H43" s="123"/>
      <c r="I43" s="10"/>
      <c r="J43" s="123" t="s">
        <v>323</v>
      </c>
      <c r="K43" s="123"/>
      <c r="L43" s="123"/>
    </row>
    <row r="44" spans="1:12" ht="13.8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 ht="13.8" x14ac:dyDescent="0.25">
      <c r="A45" s="9" t="s">
        <v>324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 ht="13.8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2" ht="13.8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 ht="13.8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:12" ht="13.8" x14ac:dyDescent="0.25">
      <c r="A49" s="121" t="s">
        <v>304</v>
      </c>
      <c r="B49" s="121"/>
      <c r="C49" s="122"/>
      <c r="D49" s="122"/>
      <c r="E49" s="122"/>
      <c r="F49" s="10"/>
      <c r="G49" s="122"/>
      <c r="H49" s="122"/>
      <c r="I49" s="10"/>
      <c r="J49" s="122"/>
      <c r="K49" s="122"/>
      <c r="L49" s="122"/>
    </row>
    <row r="50" spans="1:12" ht="13.8" x14ac:dyDescent="0.25">
      <c r="A50" s="10"/>
      <c r="B50" s="10"/>
      <c r="C50" s="123" t="s">
        <v>321</v>
      </c>
      <c r="D50" s="123"/>
      <c r="E50" s="123"/>
      <c r="F50" s="10"/>
      <c r="G50" s="123" t="s">
        <v>322</v>
      </c>
      <c r="H50" s="123"/>
      <c r="I50" s="10"/>
      <c r="J50" s="123" t="s">
        <v>323</v>
      </c>
      <c r="K50" s="123"/>
      <c r="L50" s="123"/>
    </row>
    <row r="51" spans="1:12" ht="13.8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ht="13.8" x14ac:dyDescent="0.25">
      <c r="A52" s="9" t="s">
        <v>324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</sheetData>
  <mergeCells count="79">
    <mergeCell ref="I5:J5"/>
    <mergeCell ref="K5:L5"/>
    <mergeCell ref="A1:D1"/>
    <mergeCell ref="H1:L1"/>
    <mergeCell ref="H2:L2"/>
    <mergeCell ref="H3:L3"/>
    <mergeCell ref="K4:L4"/>
    <mergeCell ref="A12:B12"/>
    <mergeCell ref="C12:I12"/>
    <mergeCell ref="K12:L12"/>
    <mergeCell ref="A6:B6"/>
    <mergeCell ref="C6:I6"/>
    <mergeCell ref="K6:L6"/>
    <mergeCell ref="C7:I7"/>
    <mergeCell ref="A8:B8"/>
    <mergeCell ref="C8:H8"/>
    <mergeCell ref="K8:L8"/>
    <mergeCell ref="C9:I9"/>
    <mergeCell ref="A10:B10"/>
    <mergeCell ref="C10:I10"/>
    <mergeCell ref="K10:L10"/>
    <mergeCell ref="C11:I11"/>
    <mergeCell ref="C13:G13"/>
    <mergeCell ref="H13:J13"/>
    <mergeCell ref="K13:L13"/>
    <mergeCell ref="E14:H14"/>
    <mergeCell ref="I14:J14"/>
    <mergeCell ref="K14:L14"/>
    <mergeCell ref="A25:L25"/>
    <mergeCell ref="I15:J15"/>
    <mergeCell ref="K15:L15"/>
    <mergeCell ref="I16:J16"/>
    <mergeCell ref="K16:L16"/>
    <mergeCell ref="C19:D20"/>
    <mergeCell ref="E19:F20"/>
    <mergeCell ref="I19:L19"/>
    <mergeCell ref="I20:J20"/>
    <mergeCell ref="K20:L20"/>
    <mergeCell ref="C21:D21"/>
    <mergeCell ref="E21:F21"/>
    <mergeCell ref="I21:J21"/>
    <mergeCell ref="K21:L21"/>
    <mergeCell ref="A24:L24"/>
    <mergeCell ref="A28:A32"/>
    <mergeCell ref="B28:E32"/>
    <mergeCell ref="F28:F32"/>
    <mergeCell ref="G28:L28"/>
    <mergeCell ref="G29:H32"/>
    <mergeCell ref="I29:J32"/>
    <mergeCell ref="K29:L32"/>
    <mergeCell ref="A38:J38"/>
    <mergeCell ref="K38:L38"/>
    <mergeCell ref="B33:E33"/>
    <mergeCell ref="G33:H33"/>
    <mergeCell ref="I33:J33"/>
    <mergeCell ref="K33:L33"/>
    <mergeCell ref="B34:E34"/>
    <mergeCell ref="G34:H34"/>
    <mergeCell ref="I34:J34"/>
    <mergeCell ref="K34:L34"/>
    <mergeCell ref="B35:L35"/>
    <mergeCell ref="A36:J36"/>
    <mergeCell ref="K36:L36"/>
    <mergeCell ref="A37:J37"/>
    <mergeCell ref="K37:L37"/>
    <mergeCell ref="A42:B42"/>
    <mergeCell ref="C42:E42"/>
    <mergeCell ref="G42:H42"/>
    <mergeCell ref="J42:L42"/>
    <mergeCell ref="C43:E43"/>
    <mergeCell ref="G43:H43"/>
    <mergeCell ref="J43:L43"/>
    <mergeCell ref="A49:B49"/>
    <mergeCell ref="C49:E49"/>
    <mergeCell ref="G49:H49"/>
    <mergeCell ref="J49:L49"/>
    <mergeCell ref="C50:E50"/>
    <mergeCell ref="G50:H50"/>
    <mergeCell ref="J50:L50"/>
  </mergeCells>
  <pageMargins left="0.4" right="0.2" top="0.2" bottom="0.4" header="0.2" footer="0.2"/>
  <pageSetup paperSize="9" scale="81" fitToHeight="0" orientation="portrait" verticalDpi="0" r:id="rId1"/>
  <headerFooter>
    <oddHeader>&amp;L&amp;8</oddHeader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K108"/>
  <sheetViews>
    <sheetView workbookViewId="0">
      <selection activeCell="A104" sqref="A104:O104"/>
    </sheetView>
  </sheetViews>
  <sheetFormatPr defaultColWidth="9.109375" defaultRowHeight="13.2" x14ac:dyDescent="0.25"/>
  <cols>
    <col min="1" max="256" width="9.109375" customWidth="1"/>
  </cols>
  <sheetData>
    <row r="1" spans="1:133" x14ac:dyDescent="0.25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45596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33" x14ac:dyDescent="0.25">
      <c r="A12" s="1">
        <v>1</v>
      </c>
      <c r="B12" s="1">
        <v>104</v>
      </c>
      <c r="C12" s="1">
        <v>0</v>
      </c>
      <c r="D12" s="1">
        <f>ROW(A69)</f>
        <v>69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5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5">
      <c r="A18" s="2">
        <v>52</v>
      </c>
      <c r="B18" s="2">
        <f t="shared" ref="B18:G18" si="0">B69</f>
        <v>104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объект_(Копия)</v>
      </c>
      <c r="G18" s="2" t="str">
        <f t="shared" si="0"/>
        <v>Красная Пахра_(Копия)</v>
      </c>
      <c r="H18" s="2"/>
      <c r="I18" s="2"/>
      <c r="J18" s="2"/>
      <c r="K18" s="2"/>
      <c r="L18" s="2"/>
      <c r="M18" s="2"/>
      <c r="N18" s="2"/>
      <c r="O18" s="2">
        <f t="shared" ref="O18:AT18" si="1">O69</f>
        <v>1373108.57</v>
      </c>
      <c r="P18" s="2">
        <f t="shared" si="1"/>
        <v>3729.94</v>
      </c>
      <c r="Q18" s="2">
        <f t="shared" si="1"/>
        <v>731682.63</v>
      </c>
      <c r="R18" s="2">
        <f t="shared" si="1"/>
        <v>329996.52</v>
      </c>
      <c r="S18" s="2">
        <f t="shared" si="1"/>
        <v>637696</v>
      </c>
      <c r="T18" s="2">
        <f t="shared" si="1"/>
        <v>0</v>
      </c>
      <c r="U18" s="2">
        <f t="shared" si="1"/>
        <v>1340.9131150000003</v>
      </c>
      <c r="V18" s="2">
        <f t="shared" si="1"/>
        <v>0</v>
      </c>
      <c r="W18" s="2">
        <f t="shared" si="1"/>
        <v>0</v>
      </c>
      <c r="X18" s="2">
        <f t="shared" si="1"/>
        <v>446387.20000000001</v>
      </c>
      <c r="Y18" s="2">
        <f t="shared" si="1"/>
        <v>63769.599999999999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2122941.9700000002</v>
      </c>
      <c r="AS18" s="2">
        <f t="shared" si="1"/>
        <v>0</v>
      </c>
      <c r="AT18" s="2">
        <f t="shared" si="1"/>
        <v>0</v>
      </c>
      <c r="AU18" s="2">
        <f t="shared" ref="AU18:BZ18" si="2">AU69</f>
        <v>2122941.9700000002</v>
      </c>
      <c r="AV18" s="2">
        <f t="shared" si="2"/>
        <v>3729.94</v>
      </c>
      <c r="AW18" s="2">
        <f t="shared" si="2"/>
        <v>3729.94</v>
      </c>
      <c r="AX18" s="2">
        <f t="shared" si="2"/>
        <v>0</v>
      </c>
      <c r="AY18" s="2">
        <f t="shared" si="2"/>
        <v>3729.94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CA69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DG69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EM69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FS69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5">
      <c r="A20" s="1">
        <v>3</v>
      </c>
      <c r="B20" s="1">
        <v>1</v>
      </c>
      <c r="C20" s="1"/>
      <c r="D20" s="1">
        <f>ROW(A37)</f>
        <v>37</v>
      </c>
      <c r="E20" s="1"/>
      <c r="F20" s="1" t="s">
        <v>3</v>
      </c>
      <c r="G20" s="1" t="s">
        <v>12</v>
      </c>
      <c r="H20" s="1" t="s">
        <v>3</v>
      </c>
      <c r="I20" s="1">
        <v>0</v>
      </c>
      <c r="J20" s="1" t="s">
        <v>3</v>
      </c>
      <c r="K20" s="1">
        <v>0</v>
      </c>
      <c r="L20" s="1" t="s">
        <v>12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5">
      <c r="A22" s="2">
        <v>52</v>
      </c>
      <c r="B22" s="2">
        <f t="shared" ref="B22:G22" si="7">B37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O37</f>
        <v>1373108.57</v>
      </c>
      <c r="P22" s="2">
        <f t="shared" si="8"/>
        <v>3729.94</v>
      </c>
      <c r="Q22" s="2">
        <f t="shared" si="8"/>
        <v>731682.63</v>
      </c>
      <c r="R22" s="2">
        <f t="shared" si="8"/>
        <v>329996.52</v>
      </c>
      <c r="S22" s="2">
        <f t="shared" si="8"/>
        <v>637696</v>
      </c>
      <c r="T22" s="2">
        <f t="shared" si="8"/>
        <v>0</v>
      </c>
      <c r="U22" s="2">
        <f t="shared" si="8"/>
        <v>1340.9131150000003</v>
      </c>
      <c r="V22" s="2">
        <f t="shared" si="8"/>
        <v>0</v>
      </c>
      <c r="W22" s="2">
        <f t="shared" si="8"/>
        <v>0</v>
      </c>
      <c r="X22" s="2">
        <f t="shared" si="8"/>
        <v>446387.20000000001</v>
      </c>
      <c r="Y22" s="2">
        <f t="shared" si="8"/>
        <v>63769.599999999999</v>
      </c>
      <c r="Z22" s="2">
        <f t="shared" si="8"/>
        <v>0</v>
      </c>
      <c r="AA22" s="2">
        <f t="shared" si="8"/>
        <v>0</v>
      </c>
      <c r="AB22" s="2">
        <f t="shared" si="8"/>
        <v>1373108.57</v>
      </c>
      <c r="AC22" s="2">
        <f t="shared" si="8"/>
        <v>3729.94</v>
      </c>
      <c r="AD22" s="2">
        <f t="shared" si="8"/>
        <v>731682.63</v>
      </c>
      <c r="AE22" s="2">
        <f t="shared" si="8"/>
        <v>329996.52</v>
      </c>
      <c r="AF22" s="2">
        <f t="shared" si="8"/>
        <v>637696</v>
      </c>
      <c r="AG22" s="2">
        <f t="shared" si="8"/>
        <v>0</v>
      </c>
      <c r="AH22" s="2">
        <f t="shared" si="8"/>
        <v>1340.9131150000003</v>
      </c>
      <c r="AI22" s="2">
        <f t="shared" si="8"/>
        <v>0</v>
      </c>
      <c r="AJ22" s="2">
        <f t="shared" si="8"/>
        <v>0</v>
      </c>
      <c r="AK22" s="2">
        <f t="shared" si="8"/>
        <v>446387.20000000001</v>
      </c>
      <c r="AL22" s="2">
        <f t="shared" si="8"/>
        <v>63769.599999999999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2122941.9700000002</v>
      </c>
      <c r="AS22" s="2">
        <f t="shared" si="8"/>
        <v>0</v>
      </c>
      <c r="AT22" s="2">
        <f t="shared" si="8"/>
        <v>0</v>
      </c>
      <c r="AU22" s="2">
        <f t="shared" ref="AU22:BZ22" si="9">AU37</f>
        <v>2122941.9700000002</v>
      </c>
      <c r="AV22" s="2">
        <f t="shared" si="9"/>
        <v>3729.94</v>
      </c>
      <c r="AW22" s="2">
        <f t="shared" si="9"/>
        <v>3729.94</v>
      </c>
      <c r="AX22" s="2">
        <f t="shared" si="9"/>
        <v>0</v>
      </c>
      <c r="AY22" s="2">
        <f t="shared" si="9"/>
        <v>3729.94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CA37</f>
        <v>2122941.9700000002</v>
      </c>
      <c r="CB22" s="2">
        <f t="shared" si="10"/>
        <v>0</v>
      </c>
      <c r="CC22" s="2">
        <f t="shared" si="10"/>
        <v>0</v>
      </c>
      <c r="CD22" s="2">
        <f t="shared" si="10"/>
        <v>2122941.9700000002</v>
      </c>
      <c r="CE22" s="2">
        <f t="shared" si="10"/>
        <v>3729.94</v>
      </c>
      <c r="CF22" s="2">
        <f t="shared" si="10"/>
        <v>3729.94</v>
      </c>
      <c r="CG22" s="2">
        <f t="shared" si="10"/>
        <v>0</v>
      </c>
      <c r="CH22" s="2">
        <f t="shared" si="10"/>
        <v>3729.94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DG37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EM37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FS37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5">
      <c r="A24">
        <v>17</v>
      </c>
      <c r="B24">
        <v>1</v>
      </c>
      <c r="C24">
        <f>ROW(SmtRes!A2)</f>
        <v>2</v>
      </c>
      <c r="D24">
        <f>ROW(EtalonRes!A2)</f>
        <v>2</v>
      </c>
      <c r="E24" t="s">
        <v>13</v>
      </c>
      <c r="F24" t="s">
        <v>14</v>
      </c>
      <c r="G24" t="s">
        <v>15</v>
      </c>
      <c r="H24" t="s">
        <v>16</v>
      </c>
      <c r="I24">
        <v>85</v>
      </c>
      <c r="J24">
        <v>0</v>
      </c>
      <c r="K24">
        <v>85</v>
      </c>
      <c r="O24">
        <f t="shared" ref="O24:O35" si="14">ROUND(CP24,2)</f>
        <v>78857.05</v>
      </c>
      <c r="P24">
        <f t="shared" ref="P24:P35" si="15">ROUND(CQ24*I24,2)</f>
        <v>0</v>
      </c>
      <c r="Q24">
        <f t="shared" ref="Q24:Q35" si="16">ROUND(CR24*I24,2)</f>
        <v>4318.8500000000004</v>
      </c>
      <c r="R24">
        <f t="shared" ref="R24:R35" si="17">ROUND(CS24*I24,2)</f>
        <v>11.05</v>
      </c>
      <c r="S24">
        <f t="shared" ref="S24:S35" si="18">ROUND(CT24*I24,2)</f>
        <v>74538.2</v>
      </c>
      <c r="T24">
        <f t="shared" ref="T24:T35" si="19">ROUND(CU24*I24,2)</f>
        <v>0</v>
      </c>
      <c r="U24">
        <f t="shared" ref="U24:U35" si="20">CV24*I24</f>
        <v>153.85</v>
      </c>
      <c r="V24">
        <f t="shared" ref="V24:V35" si="21">CW24*I24</f>
        <v>0</v>
      </c>
      <c r="W24">
        <f t="shared" ref="W24:W35" si="22">ROUND(CX24*I24,2)</f>
        <v>0</v>
      </c>
      <c r="X24">
        <f t="shared" ref="X24:X35" si="23">ROUND(CY24,2)</f>
        <v>52176.74</v>
      </c>
      <c r="Y24">
        <f t="shared" ref="Y24:Y35" si="24">ROUND(CZ24,2)</f>
        <v>7453.82</v>
      </c>
      <c r="AA24">
        <v>48805144</v>
      </c>
      <c r="AB24">
        <f t="shared" ref="AB24:AB35" si="25">ROUND((AC24+AD24+AF24),6)</f>
        <v>927.73</v>
      </c>
      <c r="AC24">
        <f>ROUND((ES24),6)</f>
        <v>0</v>
      </c>
      <c r="AD24">
        <f>ROUND((((ET24)-(EU24))+AE24),6)</f>
        <v>50.81</v>
      </c>
      <c r="AE24">
        <f>ROUND((EU24),6)</f>
        <v>0.13</v>
      </c>
      <c r="AF24">
        <f>ROUND((EV24),6)</f>
        <v>876.92</v>
      </c>
      <c r="AG24">
        <f t="shared" ref="AG24:AG35" si="26">ROUND((AP24),6)</f>
        <v>0</v>
      </c>
      <c r="AH24">
        <f>(EW24)</f>
        <v>1.81</v>
      </c>
      <c r="AI24">
        <f>(EX24)</f>
        <v>0</v>
      </c>
      <c r="AJ24">
        <f t="shared" ref="AJ24:AJ35" si="27">(AS24)</f>
        <v>0</v>
      </c>
      <c r="AK24">
        <v>927.73</v>
      </c>
      <c r="AL24">
        <v>0</v>
      </c>
      <c r="AM24">
        <v>50.81</v>
      </c>
      <c r="AN24">
        <v>0.13</v>
      </c>
      <c r="AO24">
        <v>876.92</v>
      </c>
      <c r="AP24">
        <v>0</v>
      </c>
      <c r="AQ24">
        <v>1.81</v>
      </c>
      <c r="AR24">
        <v>0</v>
      </c>
      <c r="AS24">
        <v>0</v>
      </c>
      <c r="AT24">
        <v>70</v>
      </c>
      <c r="AU24">
        <v>10</v>
      </c>
      <c r="AV24">
        <v>1</v>
      </c>
      <c r="AW24">
        <v>1</v>
      </c>
      <c r="AZ24">
        <v>1</v>
      </c>
      <c r="BA24">
        <v>1</v>
      </c>
      <c r="BB24">
        <v>1</v>
      </c>
      <c r="BC24">
        <v>1</v>
      </c>
      <c r="BD24" t="s">
        <v>3</v>
      </c>
      <c r="BE24" t="s">
        <v>3</v>
      </c>
      <c r="BF24" t="s">
        <v>3</v>
      </c>
      <c r="BG24" t="s">
        <v>3</v>
      </c>
      <c r="BH24">
        <v>0</v>
      </c>
      <c r="BI24">
        <v>4</v>
      </c>
      <c r="BJ24" t="s">
        <v>17</v>
      </c>
      <c r="BM24">
        <v>0</v>
      </c>
      <c r="BN24">
        <v>0</v>
      </c>
      <c r="BO24" t="s">
        <v>3</v>
      </c>
      <c r="BP24">
        <v>0</v>
      </c>
      <c r="BQ24">
        <v>1</v>
      </c>
      <c r="BR24">
        <v>0</v>
      </c>
      <c r="BS24">
        <v>1</v>
      </c>
      <c r="BT24">
        <v>1</v>
      </c>
      <c r="BU24">
        <v>1</v>
      </c>
      <c r="BV24">
        <v>1</v>
      </c>
      <c r="BW24">
        <v>1</v>
      </c>
      <c r="BX24">
        <v>1</v>
      </c>
      <c r="BY24" t="s">
        <v>3</v>
      </c>
      <c r="BZ24">
        <v>70</v>
      </c>
      <c r="CA24">
        <v>10</v>
      </c>
      <c r="CB24" t="s">
        <v>3</v>
      </c>
      <c r="CE24">
        <v>0</v>
      </c>
      <c r="CF24">
        <v>0</v>
      </c>
      <c r="CG24">
        <v>0</v>
      </c>
      <c r="CM24">
        <v>0</v>
      </c>
      <c r="CN24" t="s">
        <v>3</v>
      </c>
      <c r="CO24">
        <v>0</v>
      </c>
      <c r="CP24">
        <f t="shared" ref="CP24:CP35" si="28">(P24+Q24+S24)</f>
        <v>78857.05</v>
      </c>
      <c r="CQ24">
        <f t="shared" ref="CQ24:CQ35" si="29">(AC24*BC24*AW24)</f>
        <v>0</v>
      </c>
      <c r="CR24">
        <f>((((ET24)*BB24-(EU24)*BS24)+AE24*BS24)*AV24)</f>
        <v>50.81</v>
      </c>
      <c r="CS24">
        <f t="shared" ref="CS24:CS35" si="30">(AE24*BS24*AV24)</f>
        <v>0.13</v>
      </c>
      <c r="CT24">
        <f t="shared" ref="CT24:CT35" si="31">(AF24*BA24*AV24)</f>
        <v>876.92</v>
      </c>
      <c r="CU24">
        <f t="shared" ref="CU24:CU35" si="32">AG24</f>
        <v>0</v>
      </c>
      <c r="CV24">
        <f t="shared" ref="CV24:CV35" si="33">(AH24*AV24)</f>
        <v>1.81</v>
      </c>
      <c r="CW24">
        <f t="shared" ref="CW24:CW35" si="34">AI24</f>
        <v>0</v>
      </c>
      <c r="CX24">
        <f t="shared" ref="CX24:CX35" si="35">AJ24</f>
        <v>0</v>
      </c>
      <c r="CY24">
        <f t="shared" ref="CY24:CY35" si="36">((S24*BZ24)/100)</f>
        <v>52176.74</v>
      </c>
      <c r="CZ24">
        <f t="shared" ref="CZ24:CZ35" si="37">((S24*CA24)/100)</f>
        <v>7453.82</v>
      </c>
      <c r="DC24" t="s">
        <v>3</v>
      </c>
      <c r="DD24" t="s">
        <v>3</v>
      </c>
      <c r="DE24" t="s">
        <v>3</v>
      </c>
      <c r="DF24" t="s">
        <v>3</v>
      </c>
      <c r="DG24" t="s">
        <v>3</v>
      </c>
      <c r="DH24" t="s">
        <v>3</v>
      </c>
      <c r="DI24" t="s">
        <v>3</v>
      </c>
      <c r="DJ24" t="s">
        <v>3</v>
      </c>
      <c r="DK24" t="s">
        <v>3</v>
      </c>
      <c r="DL24" t="s">
        <v>3</v>
      </c>
      <c r="DM24" t="s">
        <v>3</v>
      </c>
      <c r="DN24">
        <v>0</v>
      </c>
      <c r="DO24">
        <v>0</v>
      </c>
      <c r="DP24">
        <v>1</v>
      </c>
      <c r="DQ24">
        <v>1</v>
      </c>
      <c r="DU24">
        <v>1010</v>
      </c>
      <c r="DV24" t="s">
        <v>16</v>
      </c>
      <c r="DW24" t="s">
        <v>16</v>
      </c>
      <c r="DX24">
        <v>1</v>
      </c>
      <c r="DZ24" t="s">
        <v>3</v>
      </c>
      <c r="EA24" t="s">
        <v>3</v>
      </c>
      <c r="EB24" t="s">
        <v>3</v>
      </c>
      <c r="EC24" t="s">
        <v>3</v>
      </c>
      <c r="EE24">
        <v>48160100</v>
      </c>
      <c r="EF24">
        <v>1</v>
      </c>
      <c r="EG24" t="s">
        <v>18</v>
      </c>
      <c r="EH24">
        <v>0</v>
      </c>
      <c r="EI24" t="s">
        <v>3</v>
      </c>
      <c r="EJ24">
        <v>4</v>
      </c>
      <c r="EK24">
        <v>0</v>
      </c>
      <c r="EL24" t="s">
        <v>19</v>
      </c>
      <c r="EM24" t="s">
        <v>20</v>
      </c>
      <c r="EO24" t="s">
        <v>3</v>
      </c>
      <c r="EQ24">
        <v>0</v>
      </c>
      <c r="ER24">
        <v>927.73</v>
      </c>
      <c r="ES24">
        <v>0</v>
      </c>
      <c r="ET24">
        <v>50.81</v>
      </c>
      <c r="EU24">
        <v>0.13</v>
      </c>
      <c r="EV24">
        <v>876.92</v>
      </c>
      <c r="EW24">
        <v>1.81</v>
      </c>
      <c r="EX24">
        <v>0</v>
      </c>
      <c r="EY24">
        <v>0</v>
      </c>
      <c r="FQ24">
        <v>0</v>
      </c>
      <c r="FR24">
        <f t="shared" ref="FR24:FR35" si="38">ROUND(IF(BI24=3,GM24,0),2)</f>
        <v>0</v>
      </c>
      <c r="FS24">
        <v>0</v>
      </c>
      <c r="FX24">
        <v>70</v>
      </c>
      <c r="FY24">
        <v>10</v>
      </c>
      <c r="GA24" t="s">
        <v>3</v>
      </c>
      <c r="GD24">
        <v>0</v>
      </c>
      <c r="GF24">
        <v>169252522</v>
      </c>
      <c r="GG24">
        <v>2</v>
      </c>
      <c r="GH24">
        <v>1</v>
      </c>
      <c r="GI24">
        <v>-2</v>
      </c>
      <c r="GJ24">
        <v>0</v>
      </c>
      <c r="GK24">
        <f>ROUND(R24*(R12)/100,2)</f>
        <v>11.93</v>
      </c>
      <c r="GL24">
        <f t="shared" ref="GL24:GL35" si="39">ROUND(IF(AND(BH24=3,BI24=3,FS24&lt;&gt;0),P24,0),2)</f>
        <v>0</v>
      </c>
      <c r="GM24">
        <f t="shared" ref="GM24:GM33" si="40">ROUND(O24+X24+Y24+GK24,2)+GX24</f>
        <v>138499.54</v>
      </c>
      <c r="GN24">
        <f t="shared" ref="GN24:GN35" si="41">IF(OR(BI24=0,BI24=1),GM24-GX24,0)</f>
        <v>0</v>
      </c>
      <c r="GO24">
        <f t="shared" ref="GO24:GO35" si="42">IF(BI24=2,GM24-GX24,0)</f>
        <v>0</v>
      </c>
      <c r="GP24">
        <f t="shared" ref="GP24:GP35" si="43">IF(BI24=4,GM24-GX24,0)</f>
        <v>138499.54</v>
      </c>
      <c r="GR24">
        <v>0</v>
      </c>
      <c r="GS24">
        <v>3</v>
      </c>
      <c r="GT24">
        <v>0</v>
      </c>
      <c r="GU24" t="s">
        <v>3</v>
      </c>
      <c r="GV24">
        <f t="shared" ref="GV24:GV35" si="44">ROUND((GT24),6)</f>
        <v>0</v>
      </c>
      <c r="GW24">
        <v>1</v>
      </c>
      <c r="GX24">
        <f t="shared" ref="GX24:GX35" si="45">ROUND(HC24*I24,2)</f>
        <v>0</v>
      </c>
      <c r="HA24">
        <v>0</v>
      </c>
      <c r="HB24">
        <v>0</v>
      </c>
      <c r="HC24">
        <f t="shared" ref="HC24:HC35" si="46">GV24*GW24</f>
        <v>0</v>
      </c>
      <c r="HE24" t="s">
        <v>3</v>
      </c>
      <c r="HF24" t="s">
        <v>3</v>
      </c>
      <c r="HM24" t="s">
        <v>3</v>
      </c>
      <c r="HN24" t="s">
        <v>3</v>
      </c>
      <c r="HO24" t="s">
        <v>3</v>
      </c>
      <c r="HP24" t="s">
        <v>3</v>
      </c>
      <c r="HQ24" t="s">
        <v>3</v>
      </c>
      <c r="IK24">
        <v>0</v>
      </c>
    </row>
    <row r="25" spans="1:245" x14ac:dyDescent="0.25">
      <c r="A25">
        <v>17</v>
      </c>
      <c r="B25">
        <v>1</v>
      </c>
      <c r="C25">
        <f>ROW(SmtRes!A3)</f>
        <v>3</v>
      </c>
      <c r="D25">
        <f>ROW(EtalonRes!A3)</f>
        <v>3</v>
      </c>
      <c r="E25" t="s">
        <v>21</v>
      </c>
      <c r="F25" t="s">
        <v>22</v>
      </c>
      <c r="G25" t="s">
        <v>23</v>
      </c>
      <c r="H25" t="s">
        <v>16</v>
      </c>
      <c r="I25">
        <v>85</v>
      </c>
      <c r="J25">
        <v>0</v>
      </c>
      <c r="K25">
        <v>85</v>
      </c>
      <c r="O25">
        <f t="shared" si="14"/>
        <v>34047.599999999999</v>
      </c>
      <c r="P25">
        <f t="shared" si="15"/>
        <v>0</v>
      </c>
      <c r="Q25">
        <f t="shared" si="16"/>
        <v>0</v>
      </c>
      <c r="R25">
        <f t="shared" si="17"/>
        <v>0</v>
      </c>
      <c r="S25">
        <f t="shared" si="18"/>
        <v>34047.599999999999</v>
      </c>
      <c r="T25">
        <f t="shared" si="19"/>
        <v>0</v>
      </c>
      <c r="U25">
        <f t="shared" si="20"/>
        <v>78.2</v>
      </c>
      <c r="V25">
        <f t="shared" si="21"/>
        <v>0</v>
      </c>
      <c r="W25">
        <f t="shared" si="22"/>
        <v>0</v>
      </c>
      <c r="X25">
        <f t="shared" si="23"/>
        <v>23833.32</v>
      </c>
      <c r="Y25">
        <f t="shared" si="24"/>
        <v>3404.76</v>
      </c>
      <c r="AA25">
        <v>48805144</v>
      </c>
      <c r="AB25">
        <f t="shared" si="25"/>
        <v>400.56</v>
      </c>
      <c r="AC25">
        <f>ROUND(((ES25*2)),6)</f>
        <v>0</v>
      </c>
      <c r="AD25">
        <f>ROUND(((((ET25*2))-((EU25*2)))+AE25),6)</f>
        <v>0</v>
      </c>
      <c r="AE25">
        <f>ROUND(((EU25*2)),6)</f>
        <v>0</v>
      </c>
      <c r="AF25">
        <f>ROUND(((EV25*2)),6)</f>
        <v>400.56</v>
      </c>
      <c r="AG25">
        <f t="shared" si="26"/>
        <v>0</v>
      </c>
      <c r="AH25">
        <f>((EW25*2))</f>
        <v>0.92</v>
      </c>
      <c r="AI25">
        <f>((EX25*2))</f>
        <v>0</v>
      </c>
      <c r="AJ25">
        <f t="shared" si="27"/>
        <v>0</v>
      </c>
      <c r="AK25">
        <v>200.28</v>
      </c>
      <c r="AL25">
        <v>0</v>
      </c>
      <c r="AM25">
        <v>0</v>
      </c>
      <c r="AN25">
        <v>0</v>
      </c>
      <c r="AO25">
        <v>200.28</v>
      </c>
      <c r="AP25">
        <v>0</v>
      </c>
      <c r="AQ25">
        <v>0.46</v>
      </c>
      <c r="AR25">
        <v>0</v>
      </c>
      <c r="AS25">
        <v>0</v>
      </c>
      <c r="AT25">
        <v>70</v>
      </c>
      <c r="AU25">
        <v>10</v>
      </c>
      <c r="AV25">
        <v>1</v>
      </c>
      <c r="AW25">
        <v>1</v>
      </c>
      <c r="AZ25">
        <v>1</v>
      </c>
      <c r="BA25">
        <v>1</v>
      </c>
      <c r="BB25">
        <v>1</v>
      </c>
      <c r="BC25">
        <v>1</v>
      </c>
      <c r="BD25" t="s">
        <v>3</v>
      </c>
      <c r="BE25" t="s">
        <v>3</v>
      </c>
      <c r="BF25" t="s">
        <v>3</v>
      </c>
      <c r="BG25" t="s">
        <v>3</v>
      </c>
      <c r="BH25">
        <v>0</v>
      </c>
      <c r="BI25">
        <v>4</v>
      </c>
      <c r="BJ25" t="s">
        <v>24</v>
      </c>
      <c r="BM25">
        <v>0</v>
      </c>
      <c r="BN25">
        <v>0</v>
      </c>
      <c r="BO25" t="s">
        <v>3</v>
      </c>
      <c r="BP25">
        <v>0</v>
      </c>
      <c r="BQ25">
        <v>1</v>
      </c>
      <c r="BR25">
        <v>0</v>
      </c>
      <c r="BS25">
        <v>1</v>
      </c>
      <c r="BT25">
        <v>1</v>
      </c>
      <c r="BU25">
        <v>1</v>
      </c>
      <c r="BV25">
        <v>1</v>
      </c>
      <c r="BW25">
        <v>1</v>
      </c>
      <c r="BX25">
        <v>1</v>
      </c>
      <c r="BY25" t="s">
        <v>3</v>
      </c>
      <c r="BZ25">
        <v>70</v>
      </c>
      <c r="CA25">
        <v>10</v>
      </c>
      <c r="CB25" t="s">
        <v>3</v>
      </c>
      <c r="CE25">
        <v>0</v>
      </c>
      <c r="CF25">
        <v>0</v>
      </c>
      <c r="CG25">
        <v>0</v>
      </c>
      <c r="CM25">
        <v>0</v>
      </c>
      <c r="CN25" t="s">
        <v>3</v>
      </c>
      <c r="CO25">
        <v>0</v>
      </c>
      <c r="CP25">
        <f t="shared" si="28"/>
        <v>34047.599999999999</v>
      </c>
      <c r="CQ25">
        <f t="shared" si="29"/>
        <v>0</v>
      </c>
      <c r="CR25">
        <f>(((((ET25*2))*BB25-((EU25*2))*BS25)+AE25*BS25)*AV25)</f>
        <v>0</v>
      </c>
      <c r="CS25">
        <f t="shared" si="30"/>
        <v>0</v>
      </c>
      <c r="CT25">
        <f t="shared" si="31"/>
        <v>400.56</v>
      </c>
      <c r="CU25">
        <f t="shared" si="32"/>
        <v>0</v>
      </c>
      <c r="CV25">
        <f t="shared" si="33"/>
        <v>0.92</v>
      </c>
      <c r="CW25">
        <f t="shared" si="34"/>
        <v>0</v>
      </c>
      <c r="CX25">
        <f t="shared" si="35"/>
        <v>0</v>
      </c>
      <c r="CY25">
        <f t="shared" si="36"/>
        <v>23833.32</v>
      </c>
      <c r="CZ25">
        <f t="shared" si="37"/>
        <v>3404.76</v>
      </c>
      <c r="DC25" t="s">
        <v>3</v>
      </c>
      <c r="DD25" t="s">
        <v>25</v>
      </c>
      <c r="DE25" t="s">
        <v>25</v>
      </c>
      <c r="DF25" t="s">
        <v>25</v>
      </c>
      <c r="DG25" t="s">
        <v>25</v>
      </c>
      <c r="DH25" t="s">
        <v>3</v>
      </c>
      <c r="DI25" t="s">
        <v>25</v>
      </c>
      <c r="DJ25" t="s">
        <v>25</v>
      </c>
      <c r="DK25" t="s">
        <v>3</v>
      </c>
      <c r="DL25" t="s">
        <v>3</v>
      </c>
      <c r="DM25" t="s">
        <v>25</v>
      </c>
      <c r="DN25">
        <v>0</v>
      </c>
      <c r="DO25">
        <v>0</v>
      </c>
      <c r="DP25">
        <v>1</v>
      </c>
      <c r="DQ25">
        <v>1</v>
      </c>
      <c r="DU25">
        <v>1010</v>
      </c>
      <c r="DV25" t="s">
        <v>16</v>
      </c>
      <c r="DW25" t="s">
        <v>16</v>
      </c>
      <c r="DX25">
        <v>1</v>
      </c>
      <c r="DZ25" t="s">
        <v>3</v>
      </c>
      <c r="EA25" t="s">
        <v>3</v>
      </c>
      <c r="EB25" t="s">
        <v>3</v>
      </c>
      <c r="EC25" t="s">
        <v>3</v>
      </c>
      <c r="EE25">
        <v>48160100</v>
      </c>
      <c r="EF25">
        <v>1</v>
      </c>
      <c r="EG25" t="s">
        <v>18</v>
      </c>
      <c r="EH25">
        <v>0</v>
      </c>
      <c r="EI25" t="s">
        <v>3</v>
      </c>
      <c r="EJ25">
        <v>4</v>
      </c>
      <c r="EK25">
        <v>0</v>
      </c>
      <c r="EL25" t="s">
        <v>19</v>
      </c>
      <c r="EM25" t="s">
        <v>20</v>
      </c>
      <c r="EO25" t="s">
        <v>3</v>
      </c>
      <c r="EQ25">
        <v>0</v>
      </c>
      <c r="ER25">
        <v>200.28</v>
      </c>
      <c r="ES25">
        <v>0</v>
      </c>
      <c r="ET25">
        <v>0</v>
      </c>
      <c r="EU25">
        <v>0</v>
      </c>
      <c r="EV25">
        <v>200.28</v>
      </c>
      <c r="EW25">
        <v>0.46</v>
      </c>
      <c r="EX25">
        <v>0</v>
      </c>
      <c r="EY25">
        <v>0</v>
      </c>
      <c r="FQ25">
        <v>0</v>
      </c>
      <c r="FR25">
        <f t="shared" si="38"/>
        <v>0</v>
      </c>
      <c r="FS25">
        <v>0</v>
      </c>
      <c r="FX25">
        <v>70</v>
      </c>
      <c r="FY25">
        <v>20</v>
      </c>
      <c r="GA25" t="s">
        <v>3</v>
      </c>
      <c r="GD25">
        <v>0</v>
      </c>
      <c r="GF25">
        <v>-805402867</v>
      </c>
      <c r="GG25">
        <v>2</v>
      </c>
      <c r="GH25">
        <v>1</v>
      </c>
      <c r="GI25">
        <v>-2</v>
      </c>
      <c r="GJ25">
        <v>0</v>
      </c>
      <c r="GK25">
        <f>ROUND(R25*(R12)/100,2)</f>
        <v>0</v>
      </c>
      <c r="GL25">
        <f t="shared" si="39"/>
        <v>0</v>
      </c>
      <c r="GM25">
        <f t="shared" si="40"/>
        <v>61285.68</v>
      </c>
      <c r="GN25">
        <f t="shared" si="41"/>
        <v>0</v>
      </c>
      <c r="GO25">
        <f t="shared" si="42"/>
        <v>0</v>
      </c>
      <c r="GP25">
        <f t="shared" si="43"/>
        <v>61285.68</v>
      </c>
      <c r="GR25">
        <v>0</v>
      </c>
      <c r="GS25">
        <v>3</v>
      </c>
      <c r="GT25">
        <v>0</v>
      </c>
      <c r="GU25" t="s">
        <v>3</v>
      </c>
      <c r="GV25">
        <f t="shared" si="44"/>
        <v>0</v>
      </c>
      <c r="GW25">
        <v>1</v>
      </c>
      <c r="GX25">
        <f t="shared" si="45"/>
        <v>0</v>
      </c>
      <c r="HA25">
        <v>0</v>
      </c>
      <c r="HB25">
        <v>0</v>
      </c>
      <c r="HC25">
        <f t="shared" si="46"/>
        <v>0</v>
      </c>
      <c r="HE25" t="s">
        <v>3</v>
      </c>
      <c r="HF25" t="s">
        <v>3</v>
      </c>
      <c r="HM25" t="s">
        <v>3</v>
      </c>
      <c r="HN25" t="s">
        <v>3</v>
      </c>
      <c r="HO25" t="s">
        <v>3</v>
      </c>
      <c r="HP25" t="s">
        <v>3</v>
      </c>
      <c r="HQ25" t="s">
        <v>3</v>
      </c>
      <c r="IK25">
        <v>0</v>
      </c>
    </row>
    <row r="26" spans="1:245" x14ac:dyDescent="0.25">
      <c r="A26">
        <v>17</v>
      </c>
      <c r="B26">
        <v>1</v>
      </c>
      <c r="C26">
        <f>ROW(SmtRes!A5)</f>
        <v>5</v>
      </c>
      <c r="D26">
        <f>ROW(EtalonRes!A5)</f>
        <v>5</v>
      </c>
      <c r="E26" t="s">
        <v>26</v>
      </c>
      <c r="F26" t="s">
        <v>27</v>
      </c>
      <c r="G26" t="s">
        <v>28</v>
      </c>
      <c r="H26" t="s">
        <v>16</v>
      </c>
      <c r="I26">
        <v>50</v>
      </c>
      <c r="J26">
        <v>0</v>
      </c>
      <c r="K26">
        <v>50</v>
      </c>
      <c r="O26">
        <f t="shared" si="14"/>
        <v>69043</v>
      </c>
      <c r="P26">
        <f t="shared" si="15"/>
        <v>0</v>
      </c>
      <c r="Q26">
        <f t="shared" si="16"/>
        <v>3493</v>
      </c>
      <c r="R26">
        <f t="shared" si="17"/>
        <v>9</v>
      </c>
      <c r="S26">
        <f t="shared" si="18"/>
        <v>65550</v>
      </c>
      <c r="T26">
        <f t="shared" si="19"/>
        <v>0</v>
      </c>
      <c r="U26">
        <f t="shared" si="20"/>
        <v>132</v>
      </c>
      <c r="V26">
        <f t="shared" si="21"/>
        <v>0</v>
      </c>
      <c r="W26">
        <f t="shared" si="22"/>
        <v>0</v>
      </c>
      <c r="X26">
        <f t="shared" si="23"/>
        <v>45885</v>
      </c>
      <c r="Y26">
        <f t="shared" si="24"/>
        <v>6555</v>
      </c>
      <c r="AA26">
        <v>48805144</v>
      </c>
      <c r="AB26">
        <f t="shared" si="25"/>
        <v>1380.86</v>
      </c>
      <c r="AC26">
        <f>ROUND((ES26),6)</f>
        <v>0</v>
      </c>
      <c r="AD26">
        <f>ROUND((((ET26)-(EU26))+AE26),6)</f>
        <v>69.86</v>
      </c>
      <c r="AE26">
        <f>ROUND((EU26),6)</f>
        <v>0.18</v>
      </c>
      <c r="AF26">
        <f>ROUND((EV26),6)</f>
        <v>1311</v>
      </c>
      <c r="AG26">
        <f t="shared" si="26"/>
        <v>0</v>
      </c>
      <c r="AH26">
        <f>(EW26)</f>
        <v>2.64</v>
      </c>
      <c r="AI26">
        <f>(EX26)</f>
        <v>0</v>
      </c>
      <c r="AJ26">
        <f t="shared" si="27"/>
        <v>0</v>
      </c>
      <c r="AK26">
        <v>1380.86</v>
      </c>
      <c r="AL26">
        <v>0</v>
      </c>
      <c r="AM26">
        <v>69.86</v>
      </c>
      <c r="AN26">
        <v>0.18</v>
      </c>
      <c r="AO26">
        <v>1311</v>
      </c>
      <c r="AP26">
        <v>0</v>
      </c>
      <c r="AQ26">
        <v>2.64</v>
      </c>
      <c r="AR26">
        <v>0</v>
      </c>
      <c r="AS26">
        <v>0</v>
      </c>
      <c r="AT26">
        <v>70</v>
      </c>
      <c r="AU26">
        <v>10</v>
      </c>
      <c r="AV26">
        <v>1</v>
      </c>
      <c r="AW26">
        <v>1</v>
      </c>
      <c r="AZ26">
        <v>1</v>
      </c>
      <c r="BA26">
        <v>1</v>
      </c>
      <c r="BB26">
        <v>1</v>
      </c>
      <c r="BC26">
        <v>1</v>
      </c>
      <c r="BD26" t="s">
        <v>3</v>
      </c>
      <c r="BE26" t="s">
        <v>3</v>
      </c>
      <c r="BF26" t="s">
        <v>3</v>
      </c>
      <c r="BG26" t="s">
        <v>3</v>
      </c>
      <c r="BH26">
        <v>0</v>
      </c>
      <c r="BI26">
        <v>4</v>
      </c>
      <c r="BJ26" t="s">
        <v>29</v>
      </c>
      <c r="BM26">
        <v>0</v>
      </c>
      <c r="BN26">
        <v>0</v>
      </c>
      <c r="BO26" t="s">
        <v>3</v>
      </c>
      <c r="BP26">
        <v>0</v>
      </c>
      <c r="BQ26">
        <v>1</v>
      </c>
      <c r="BR26">
        <v>0</v>
      </c>
      <c r="BS26">
        <v>1</v>
      </c>
      <c r="BT26">
        <v>1</v>
      </c>
      <c r="BU26">
        <v>1</v>
      </c>
      <c r="BV26">
        <v>1</v>
      </c>
      <c r="BW26">
        <v>1</v>
      </c>
      <c r="BX26">
        <v>1</v>
      </c>
      <c r="BY26" t="s">
        <v>3</v>
      </c>
      <c r="BZ26">
        <v>70</v>
      </c>
      <c r="CA26">
        <v>10</v>
      </c>
      <c r="CB26" t="s">
        <v>3</v>
      </c>
      <c r="CE26">
        <v>0</v>
      </c>
      <c r="CF26">
        <v>0</v>
      </c>
      <c r="CG26">
        <v>0</v>
      </c>
      <c r="CM26">
        <v>0</v>
      </c>
      <c r="CN26" t="s">
        <v>3</v>
      </c>
      <c r="CO26">
        <v>0</v>
      </c>
      <c r="CP26">
        <f t="shared" si="28"/>
        <v>69043</v>
      </c>
      <c r="CQ26">
        <f t="shared" si="29"/>
        <v>0</v>
      </c>
      <c r="CR26">
        <f>((((ET26)*BB26-(EU26)*BS26)+AE26*BS26)*AV26)</f>
        <v>69.86</v>
      </c>
      <c r="CS26">
        <f t="shared" si="30"/>
        <v>0.18</v>
      </c>
      <c r="CT26">
        <f t="shared" si="31"/>
        <v>1311</v>
      </c>
      <c r="CU26">
        <f t="shared" si="32"/>
        <v>0</v>
      </c>
      <c r="CV26">
        <f t="shared" si="33"/>
        <v>2.64</v>
      </c>
      <c r="CW26">
        <f t="shared" si="34"/>
        <v>0</v>
      </c>
      <c r="CX26">
        <f t="shared" si="35"/>
        <v>0</v>
      </c>
      <c r="CY26">
        <f t="shared" si="36"/>
        <v>45885</v>
      </c>
      <c r="CZ26">
        <f t="shared" si="37"/>
        <v>6555</v>
      </c>
      <c r="DC26" t="s">
        <v>3</v>
      </c>
      <c r="DD26" t="s">
        <v>3</v>
      </c>
      <c r="DE26" t="s">
        <v>3</v>
      </c>
      <c r="DF26" t="s">
        <v>3</v>
      </c>
      <c r="DG26" t="s">
        <v>3</v>
      </c>
      <c r="DH26" t="s">
        <v>3</v>
      </c>
      <c r="DI26" t="s">
        <v>3</v>
      </c>
      <c r="DJ26" t="s">
        <v>3</v>
      </c>
      <c r="DK26" t="s">
        <v>3</v>
      </c>
      <c r="DL26" t="s">
        <v>3</v>
      </c>
      <c r="DM26" t="s">
        <v>3</v>
      </c>
      <c r="DN26">
        <v>0</v>
      </c>
      <c r="DO26">
        <v>0</v>
      </c>
      <c r="DP26">
        <v>1</v>
      </c>
      <c r="DQ26">
        <v>1</v>
      </c>
      <c r="DU26">
        <v>1010</v>
      </c>
      <c r="DV26" t="s">
        <v>16</v>
      </c>
      <c r="DW26" t="s">
        <v>16</v>
      </c>
      <c r="DX26">
        <v>1</v>
      </c>
      <c r="DZ26" t="s">
        <v>3</v>
      </c>
      <c r="EA26" t="s">
        <v>3</v>
      </c>
      <c r="EB26" t="s">
        <v>3</v>
      </c>
      <c r="EC26" t="s">
        <v>3</v>
      </c>
      <c r="EE26">
        <v>48160100</v>
      </c>
      <c r="EF26">
        <v>1</v>
      </c>
      <c r="EG26" t="s">
        <v>18</v>
      </c>
      <c r="EH26">
        <v>0</v>
      </c>
      <c r="EI26" t="s">
        <v>3</v>
      </c>
      <c r="EJ26">
        <v>4</v>
      </c>
      <c r="EK26">
        <v>0</v>
      </c>
      <c r="EL26" t="s">
        <v>19</v>
      </c>
      <c r="EM26" t="s">
        <v>20</v>
      </c>
      <c r="EO26" t="s">
        <v>3</v>
      </c>
      <c r="EQ26">
        <v>0</v>
      </c>
      <c r="ER26">
        <v>1380.86</v>
      </c>
      <c r="ES26">
        <v>0</v>
      </c>
      <c r="ET26">
        <v>69.86</v>
      </c>
      <c r="EU26">
        <v>0.18</v>
      </c>
      <c r="EV26">
        <v>1311</v>
      </c>
      <c r="EW26">
        <v>2.64</v>
      </c>
      <c r="EX26">
        <v>0</v>
      </c>
      <c r="EY26">
        <v>0</v>
      </c>
      <c r="FQ26">
        <v>0</v>
      </c>
      <c r="FR26">
        <f t="shared" si="38"/>
        <v>0</v>
      </c>
      <c r="FS26">
        <v>0</v>
      </c>
      <c r="FX26">
        <v>70</v>
      </c>
      <c r="FY26">
        <v>10</v>
      </c>
      <c r="GA26" t="s">
        <v>3</v>
      </c>
      <c r="GD26">
        <v>0</v>
      </c>
      <c r="GF26">
        <v>-1931146370</v>
      </c>
      <c r="GG26">
        <v>2</v>
      </c>
      <c r="GH26">
        <v>1</v>
      </c>
      <c r="GI26">
        <v>-2</v>
      </c>
      <c r="GJ26">
        <v>0</v>
      </c>
      <c r="GK26">
        <f>ROUND(R26*(R12)/100,2)</f>
        <v>9.7200000000000006</v>
      </c>
      <c r="GL26">
        <f t="shared" si="39"/>
        <v>0</v>
      </c>
      <c r="GM26">
        <f t="shared" si="40"/>
        <v>121492.72</v>
      </c>
      <c r="GN26">
        <f t="shared" si="41"/>
        <v>0</v>
      </c>
      <c r="GO26">
        <f t="shared" si="42"/>
        <v>0</v>
      </c>
      <c r="GP26">
        <f t="shared" si="43"/>
        <v>121492.72</v>
      </c>
      <c r="GR26">
        <v>0</v>
      </c>
      <c r="GS26">
        <v>3</v>
      </c>
      <c r="GT26">
        <v>0</v>
      </c>
      <c r="GU26" t="s">
        <v>3</v>
      </c>
      <c r="GV26">
        <f t="shared" si="44"/>
        <v>0</v>
      </c>
      <c r="GW26">
        <v>1</v>
      </c>
      <c r="GX26">
        <f t="shared" si="45"/>
        <v>0</v>
      </c>
      <c r="HA26">
        <v>0</v>
      </c>
      <c r="HB26">
        <v>0</v>
      </c>
      <c r="HC26">
        <f t="shared" si="46"/>
        <v>0</v>
      </c>
      <c r="HE26" t="s">
        <v>3</v>
      </c>
      <c r="HF26" t="s">
        <v>3</v>
      </c>
      <c r="HM26" t="s">
        <v>3</v>
      </c>
      <c r="HN26" t="s">
        <v>3</v>
      </c>
      <c r="HO26" t="s">
        <v>3</v>
      </c>
      <c r="HP26" t="s">
        <v>3</v>
      </c>
      <c r="HQ26" t="s">
        <v>3</v>
      </c>
      <c r="IK26">
        <v>0</v>
      </c>
    </row>
    <row r="27" spans="1:245" x14ac:dyDescent="0.25">
      <c r="A27">
        <v>17</v>
      </c>
      <c r="B27">
        <v>1</v>
      </c>
      <c r="C27">
        <f>ROW(SmtRes!A6)</f>
        <v>6</v>
      </c>
      <c r="D27">
        <f>ROW(EtalonRes!A6)</f>
        <v>6</v>
      </c>
      <c r="E27" t="s">
        <v>30</v>
      </c>
      <c r="F27" t="s">
        <v>31</v>
      </c>
      <c r="G27" t="s">
        <v>32</v>
      </c>
      <c r="H27" t="s">
        <v>16</v>
      </c>
      <c r="I27">
        <v>50</v>
      </c>
      <c r="J27">
        <v>0</v>
      </c>
      <c r="K27">
        <v>50</v>
      </c>
      <c r="O27">
        <f t="shared" si="14"/>
        <v>25253</v>
      </c>
      <c r="P27">
        <f t="shared" si="15"/>
        <v>0</v>
      </c>
      <c r="Q27">
        <f t="shared" si="16"/>
        <v>0</v>
      </c>
      <c r="R27">
        <f t="shared" si="17"/>
        <v>0</v>
      </c>
      <c r="S27">
        <f t="shared" si="18"/>
        <v>25253</v>
      </c>
      <c r="T27">
        <f t="shared" si="19"/>
        <v>0</v>
      </c>
      <c r="U27">
        <f t="shared" si="20"/>
        <v>57.999999999999993</v>
      </c>
      <c r="V27">
        <f t="shared" si="21"/>
        <v>0</v>
      </c>
      <c r="W27">
        <f t="shared" si="22"/>
        <v>0</v>
      </c>
      <c r="X27">
        <f t="shared" si="23"/>
        <v>17677.099999999999</v>
      </c>
      <c r="Y27">
        <f t="shared" si="24"/>
        <v>2525.3000000000002</v>
      </c>
      <c r="AA27">
        <v>48805144</v>
      </c>
      <c r="AB27">
        <f t="shared" si="25"/>
        <v>505.06</v>
      </c>
      <c r="AC27">
        <f>ROUND(((ES27*2)),6)</f>
        <v>0</v>
      </c>
      <c r="AD27">
        <f>ROUND(((((ET27*2))-((EU27*2)))+AE27),6)</f>
        <v>0</v>
      </c>
      <c r="AE27">
        <f>ROUND(((EU27*2)),6)</f>
        <v>0</v>
      </c>
      <c r="AF27">
        <f>ROUND(((EV27*2)),6)</f>
        <v>505.06</v>
      </c>
      <c r="AG27">
        <f t="shared" si="26"/>
        <v>0</v>
      </c>
      <c r="AH27">
        <f>((EW27*2))</f>
        <v>1.1599999999999999</v>
      </c>
      <c r="AI27">
        <f>((EX27*2))</f>
        <v>0</v>
      </c>
      <c r="AJ27">
        <f t="shared" si="27"/>
        <v>0</v>
      </c>
      <c r="AK27">
        <v>252.53</v>
      </c>
      <c r="AL27">
        <v>0</v>
      </c>
      <c r="AM27">
        <v>0</v>
      </c>
      <c r="AN27">
        <v>0</v>
      </c>
      <c r="AO27">
        <v>252.53</v>
      </c>
      <c r="AP27">
        <v>0</v>
      </c>
      <c r="AQ27">
        <v>0.57999999999999996</v>
      </c>
      <c r="AR27">
        <v>0</v>
      </c>
      <c r="AS27">
        <v>0</v>
      </c>
      <c r="AT27">
        <v>70</v>
      </c>
      <c r="AU27">
        <v>10</v>
      </c>
      <c r="AV27">
        <v>1</v>
      </c>
      <c r="AW27">
        <v>1</v>
      </c>
      <c r="AZ27">
        <v>1</v>
      </c>
      <c r="BA27">
        <v>1</v>
      </c>
      <c r="BB27">
        <v>1</v>
      </c>
      <c r="BC27">
        <v>1</v>
      </c>
      <c r="BD27" t="s">
        <v>3</v>
      </c>
      <c r="BE27" t="s">
        <v>3</v>
      </c>
      <c r="BF27" t="s">
        <v>3</v>
      </c>
      <c r="BG27" t="s">
        <v>3</v>
      </c>
      <c r="BH27">
        <v>0</v>
      </c>
      <c r="BI27">
        <v>4</v>
      </c>
      <c r="BJ27" t="s">
        <v>33</v>
      </c>
      <c r="BM27">
        <v>0</v>
      </c>
      <c r="BN27">
        <v>0</v>
      </c>
      <c r="BO27" t="s">
        <v>3</v>
      </c>
      <c r="BP27">
        <v>0</v>
      </c>
      <c r="BQ27">
        <v>1</v>
      </c>
      <c r="BR27">
        <v>0</v>
      </c>
      <c r="BS27">
        <v>1</v>
      </c>
      <c r="BT27">
        <v>1</v>
      </c>
      <c r="BU27">
        <v>1</v>
      </c>
      <c r="BV27">
        <v>1</v>
      </c>
      <c r="BW27">
        <v>1</v>
      </c>
      <c r="BX27">
        <v>1</v>
      </c>
      <c r="BY27" t="s">
        <v>3</v>
      </c>
      <c r="BZ27">
        <v>70</v>
      </c>
      <c r="CA27">
        <v>10</v>
      </c>
      <c r="CB27" t="s">
        <v>3</v>
      </c>
      <c r="CE27">
        <v>0</v>
      </c>
      <c r="CF27">
        <v>0</v>
      </c>
      <c r="CG27">
        <v>0</v>
      </c>
      <c r="CM27">
        <v>0</v>
      </c>
      <c r="CN27" t="s">
        <v>3</v>
      </c>
      <c r="CO27">
        <v>0</v>
      </c>
      <c r="CP27">
        <f t="shared" si="28"/>
        <v>25253</v>
      </c>
      <c r="CQ27">
        <f t="shared" si="29"/>
        <v>0</v>
      </c>
      <c r="CR27">
        <f>(((((ET27*2))*BB27-((EU27*2))*BS27)+AE27*BS27)*AV27)</f>
        <v>0</v>
      </c>
      <c r="CS27">
        <f t="shared" si="30"/>
        <v>0</v>
      </c>
      <c r="CT27">
        <f t="shared" si="31"/>
        <v>505.06</v>
      </c>
      <c r="CU27">
        <f t="shared" si="32"/>
        <v>0</v>
      </c>
      <c r="CV27">
        <f t="shared" si="33"/>
        <v>1.1599999999999999</v>
      </c>
      <c r="CW27">
        <f t="shared" si="34"/>
        <v>0</v>
      </c>
      <c r="CX27">
        <f t="shared" si="35"/>
        <v>0</v>
      </c>
      <c r="CY27">
        <f t="shared" si="36"/>
        <v>17677.099999999999</v>
      </c>
      <c r="CZ27">
        <f t="shared" si="37"/>
        <v>2525.3000000000002</v>
      </c>
      <c r="DC27" t="s">
        <v>3</v>
      </c>
      <c r="DD27" t="s">
        <v>25</v>
      </c>
      <c r="DE27" t="s">
        <v>25</v>
      </c>
      <c r="DF27" t="s">
        <v>25</v>
      </c>
      <c r="DG27" t="s">
        <v>25</v>
      </c>
      <c r="DH27" t="s">
        <v>3</v>
      </c>
      <c r="DI27" t="s">
        <v>25</v>
      </c>
      <c r="DJ27" t="s">
        <v>25</v>
      </c>
      <c r="DK27" t="s">
        <v>3</v>
      </c>
      <c r="DL27" t="s">
        <v>3</v>
      </c>
      <c r="DM27" t="s">
        <v>25</v>
      </c>
      <c r="DN27">
        <v>0</v>
      </c>
      <c r="DO27">
        <v>0</v>
      </c>
      <c r="DP27">
        <v>1</v>
      </c>
      <c r="DQ27">
        <v>1</v>
      </c>
      <c r="DU27">
        <v>1010</v>
      </c>
      <c r="DV27" t="s">
        <v>16</v>
      </c>
      <c r="DW27" t="s">
        <v>16</v>
      </c>
      <c r="DX27">
        <v>1</v>
      </c>
      <c r="DZ27" t="s">
        <v>3</v>
      </c>
      <c r="EA27" t="s">
        <v>3</v>
      </c>
      <c r="EB27" t="s">
        <v>3</v>
      </c>
      <c r="EC27" t="s">
        <v>3</v>
      </c>
      <c r="EE27">
        <v>48160100</v>
      </c>
      <c r="EF27">
        <v>1</v>
      </c>
      <c r="EG27" t="s">
        <v>18</v>
      </c>
      <c r="EH27">
        <v>0</v>
      </c>
      <c r="EI27" t="s">
        <v>3</v>
      </c>
      <c r="EJ27">
        <v>4</v>
      </c>
      <c r="EK27">
        <v>0</v>
      </c>
      <c r="EL27" t="s">
        <v>19</v>
      </c>
      <c r="EM27" t="s">
        <v>20</v>
      </c>
      <c r="EO27" t="s">
        <v>3</v>
      </c>
      <c r="EQ27">
        <v>0</v>
      </c>
      <c r="ER27">
        <v>252.53</v>
      </c>
      <c r="ES27">
        <v>0</v>
      </c>
      <c r="ET27">
        <v>0</v>
      </c>
      <c r="EU27">
        <v>0</v>
      </c>
      <c r="EV27">
        <v>252.53</v>
      </c>
      <c r="EW27">
        <v>0.57999999999999996</v>
      </c>
      <c r="EX27">
        <v>0</v>
      </c>
      <c r="EY27">
        <v>0</v>
      </c>
      <c r="FQ27">
        <v>0</v>
      </c>
      <c r="FR27">
        <f t="shared" si="38"/>
        <v>0</v>
      </c>
      <c r="FS27">
        <v>0</v>
      </c>
      <c r="FX27">
        <v>70</v>
      </c>
      <c r="FY27">
        <v>20</v>
      </c>
      <c r="GA27" t="s">
        <v>3</v>
      </c>
      <c r="GD27">
        <v>0</v>
      </c>
      <c r="GF27">
        <v>854198117</v>
      </c>
      <c r="GG27">
        <v>2</v>
      </c>
      <c r="GH27">
        <v>1</v>
      </c>
      <c r="GI27">
        <v>-2</v>
      </c>
      <c r="GJ27">
        <v>0</v>
      </c>
      <c r="GK27">
        <f>ROUND(R27*(R12)/100,2)</f>
        <v>0</v>
      </c>
      <c r="GL27">
        <f t="shared" si="39"/>
        <v>0</v>
      </c>
      <c r="GM27">
        <f t="shared" si="40"/>
        <v>45455.4</v>
      </c>
      <c r="GN27">
        <f t="shared" si="41"/>
        <v>0</v>
      </c>
      <c r="GO27">
        <f t="shared" si="42"/>
        <v>0</v>
      </c>
      <c r="GP27">
        <f t="shared" si="43"/>
        <v>45455.4</v>
      </c>
      <c r="GR27">
        <v>0</v>
      </c>
      <c r="GS27">
        <v>3</v>
      </c>
      <c r="GT27">
        <v>0</v>
      </c>
      <c r="GU27" t="s">
        <v>3</v>
      </c>
      <c r="GV27">
        <f t="shared" si="44"/>
        <v>0</v>
      </c>
      <c r="GW27">
        <v>1</v>
      </c>
      <c r="GX27">
        <f t="shared" si="45"/>
        <v>0</v>
      </c>
      <c r="HA27">
        <v>0</v>
      </c>
      <c r="HB27">
        <v>0</v>
      </c>
      <c r="HC27">
        <f t="shared" si="46"/>
        <v>0</v>
      </c>
      <c r="HE27" t="s">
        <v>3</v>
      </c>
      <c r="HF27" t="s">
        <v>3</v>
      </c>
      <c r="HM27" t="s">
        <v>3</v>
      </c>
      <c r="HN27" t="s">
        <v>3</v>
      </c>
      <c r="HO27" t="s">
        <v>3</v>
      </c>
      <c r="HP27" t="s">
        <v>3</v>
      </c>
      <c r="HQ27" t="s">
        <v>3</v>
      </c>
      <c r="IK27">
        <v>0</v>
      </c>
    </row>
    <row r="28" spans="1:245" x14ac:dyDescent="0.25">
      <c r="A28">
        <v>17</v>
      </c>
      <c r="B28">
        <v>1</v>
      </c>
      <c r="C28">
        <f>ROW(SmtRes!A11)</f>
        <v>11</v>
      </c>
      <c r="D28">
        <f>ROW(EtalonRes!A11)</f>
        <v>11</v>
      </c>
      <c r="E28" t="s">
        <v>34</v>
      </c>
      <c r="F28" t="s">
        <v>35</v>
      </c>
      <c r="G28" t="s">
        <v>36</v>
      </c>
      <c r="H28" t="s">
        <v>16</v>
      </c>
      <c r="I28">
        <v>283</v>
      </c>
      <c r="J28">
        <v>0</v>
      </c>
      <c r="K28">
        <v>283</v>
      </c>
      <c r="O28">
        <f t="shared" si="14"/>
        <v>819845.34</v>
      </c>
      <c r="P28">
        <f t="shared" si="15"/>
        <v>3729.94</v>
      </c>
      <c r="Q28">
        <f t="shared" si="16"/>
        <v>444482.63</v>
      </c>
      <c r="R28">
        <f t="shared" si="17"/>
        <v>197149.12</v>
      </c>
      <c r="S28">
        <f t="shared" si="18"/>
        <v>371632.77</v>
      </c>
      <c r="T28">
        <f t="shared" si="19"/>
        <v>0</v>
      </c>
      <c r="U28">
        <f t="shared" si="20"/>
        <v>769.7600000000001</v>
      </c>
      <c r="V28">
        <f t="shared" si="21"/>
        <v>0</v>
      </c>
      <c r="W28">
        <f t="shared" si="22"/>
        <v>0</v>
      </c>
      <c r="X28">
        <f t="shared" si="23"/>
        <v>260142.94</v>
      </c>
      <c r="Y28">
        <f t="shared" si="24"/>
        <v>37163.279999999999</v>
      </c>
      <c r="AA28">
        <v>48805144</v>
      </c>
      <c r="AB28">
        <f t="shared" si="25"/>
        <v>2896.98</v>
      </c>
      <c r="AC28">
        <f t="shared" ref="AC28:AC35" si="47">ROUND((ES28),6)</f>
        <v>13.18</v>
      </c>
      <c r="AD28">
        <f t="shared" ref="AD28:AD34" si="48">ROUND((((ET28)-(EU28))+AE28),6)</f>
        <v>1570.61</v>
      </c>
      <c r="AE28">
        <f t="shared" ref="AE28:AF34" si="49">ROUND((EU28),6)</f>
        <v>696.64</v>
      </c>
      <c r="AF28">
        <f t="shared" si="49"/>
        <v>1313.19</v>
      </c>
      <c r="AG28">
        <f t="shared" si="26"/>
        <v>0</v>
      </c>
      <c r="AH28">
        <f t="shared" ref="AH28:AI34" si="50">(EW28)</f>
        <v>2.72</v>
      </c>
      <c r="AI28">
        <f t="shared" si="50"/>
        <v>0</v>
      </c>
      <c r="AJ28">
        <f t="shared" si="27"/>
        <v>0</v>
      </c>
      <c r="AK28">
        <v>2896.98</v>
      </c>
      <c r="AL28">
        <v>13.18</v>
      </c>
      <c r="AM28">
        <v>1570.61</v>
      </c>
      <c r="AN28">
        <v>696.64</v>
      </c>
      <c r="AO28">
        <v>1313.19</v>
      </c>
      <c r="AP28">
        <v>0</v>
      </c>
      <c r="AQ28">
        <v>2.72</v>
      </c>
      <c r="AR28">
        <v>0</v>
      </c>
      <c r="AS28">
        <v>0</v>
      </c>
      <c r="AT28">
        <v>70</v>
      </c>
      <c r="AU28">
        <v>10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4</v>
      </c>
      <c r="BJ28" t="s">
        <v>37</v>
      </c>
      <c r="BM28">
        <v>0</v>
      </c>
      <c r="BN28">
        <v>0</v>
      </c>
      <c r="BO28" t="s">
        <v>3</v>
      </c>
      <c r="BP28">
        <v>0</v>
      </c>
      <c r="BQ28">
        <v>1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70</v>
      </c>
      <c r="CA28">
        <v>10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 t="shared" si="28"/>
        <v>819845.34000000008</v>
      </c>
      <c r="CQ28">
        <f t="shared" si="29"/>
        <v>13.18</v>
      </c>
      <c r="CR28">
        <f t="shared" ref="CR28:CR34" si="51">((((ET28)*BB28-(EU28)*BS28)+AE28*BS28)*AV28)</f>
        <v>1570.61</v>
      </c>
      <c r="CS28">
        <f t="shared" si="30"/>
        <v>696.64</v>
      </c>
      <c r="CT28">
        <f t="shared" si="31"/>
        <v>1313.19</v>
      </c>
      <c r="CU28">
        <f t="shared" si="32"/>
        <v>0</v>
      </c>
      <c r="CV28">
        <f t="shared" si="33"/>
        <v>2.72</v>
      </c>
      <c r="CW28">
        <f t="shared" si="34"/>
        <v>0</v>
      </c>
      <c r="CX28">
        <f t="shared" si="35"/>
        <v>0</v>
      </c>
      <c r="CY28">
        <f t="shared" si="36"/>
        <v>260142.93900000001</v>
      </c>
      <c r="CZ28">
        <f t="shared" si="37"/>
        <v>37163.277000000002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1010</v>
      </c>
      <c r="DV28" t="s">
        <v>16</v>
      </c>
      <c r="DW28" t="s">
        <v>16</v>
      </c>
      <c r="DX28">
        <v>1</v>
      </c>
      <c r="DZ28" t="s">
        <v>3</v>
      </c>
      <c r="EA28" t="s">
        <v>3</v>
      </c>
      <c r="EB28" t="s">
        <v>3</v>
      </c>
      <c r="EC28" t="s">
        <v>3</v>
      </c>
      <c r="EE28">
        <v>48160100</v>
      </c>
      <c r="EF28">
        <v>1</v>
      </c>
      <c r="EG28" t="s">
        <v>18</v>
      </c>
      <c r="EH28">
        <v>0</v>
      </c>
      <c r="EI28" t="s">
        <v>3</v>
      </c>
      <c r="EJ28">
        <v>4</v>
      </c>
      <c r="EK28">
        <v>0</v>
      </c>
      <c r="EL28" t="s">
        <v>19</v>
      </c>
      <c r="EM28" t="s">
        <v>20</v>
      </c>
      <c r="EO28" t="s">
        <v>3</v>
      </c>
      <c r="EQ28">
        <v>0</v>
      </c>
      <c r="ER28">
        <v>2896.98</v>
      </c>
      <c r="ES28">
        <v>13.18</v>
      </c>
      <c r="ET28">
        <v>1570.61</v>
      </c>
      <c r="EU28">
        <v>696.64</v>
      </c>
      <c r="EV28">
        <v>1313.19</v>
      </c>
      <c r="EW28">
        <v>2.72</v>
      </c>
      <c r="EX28">
        <v>0</v>
      </c>
      <c r="EY28">
        <v>0</v>
      </c>
      <c r="FQ28">
        <v>0</v>
      </c>
      <c r="FR28">
        <f t="shared" si="38"/>
        <v>0</v>
      </c>
      <c r="FS28">
        <v>0</v>
      </c>
      <c r="FX28">
        <v>70</v>
      </c>
      <c r="FY28">
        <v>10</v>
      </c>
      <c r="GA28" t="s">
        <v>3</v>
      </c>
      <c r="GD28">
        <v>0</v>
      </c>
      <c r="GF28">
        <v>-1969244173</v>
      </c>
      <c r="GG28">
        <v>2</v>
      </c>
      <c r="GH28">
        <v>1</v>
      </c>
      <c r="GI28">
        <v>-2</v>
      </c>
      <c r="GJ28">
        <v>0</v>
      </c>
      <c r="GK28">
        <f>ROUND(R28*(R12)/100,2)</f>
        <v>212921.05</v>
      </c>
      <c r="GL28">
        <f t="shared" si="39"/>
        <v>0</v>
      </c>
      <c r="GM28">
        <f t="shared" si="40"/>
        <v>1330072.6100000001</v>
      </c>
      <c r="GN28">
        <f t="shared" si="41"/>
        <v>0</v>
      </c>
      <c r="GO28">
        <f t="shared" si="42"/>
        <v>0</v>
      </c>
      <c r="GP28">
        <f t="shared" si="43"/>
        <v>1330072.6100000001</v>
      </c>
      <c r="GR28">
        <v>0</v>
      </c>
      <c r="GS28">
        <v>3</v>
      </c>
      <c r="GT28">
        <v>0</v>
      </c>
      <c r="GU28" t="s">
        <v>3</v>
      </c>
      <c r="GV28">
        <f t="shared" si="44"/>
        <v>0</v>
      </c>
      <c r="GW28">
        <v>1</v>
      </c>
      <c r="GX28">
        <f t="shared" si="45"/>
        <v>0</v>
      </c>
      <c r="HA28">
        <v>0</v>
      </c>
      <c r="HB28">
        <v>0</v>
      </c>
      <c r="HC28">
        <f t="shared" si="46"/>
        <v>0</v>
      </c>
      <c r="HE28" t="s">
        <v>3</v>
      </c>
      <c r="HF28" t="s">
        <v>3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IK28">
        <v>0</v>
      </c>
    </row>
    <row r="29" spans="1:245" x14ac:dyDescent="0.25">
      <c r="A29">
        <v>17</v>
      </c>
      <c r="B29">
        <v>1</v>
      </c>
      <c r="C29">
        <f>ROW(SmtRes!A14)</f>
        <v>14</v>
      </c>
      <c r="D29">
        <f>ROW(EtalonRes!A14)</f>
        <v>14</v>
      </c>
      <c r="E29" t="s">
        <v>38</v>
      </c>
      <c r="F29" t="s">
        <v>39</v>
      </c>
      <c r="G29" t="s">
        <v>40</v>
      </c>
      <c r="H29" t="s">
        <v>16</v>
      </c>
      <c r="I29">
        <v>169</v>
      </c>
      <c r="J29">
        <v>0</v>
      </c>
      <c r="K29">
        <v>169</v>
      </c>
      <c r="O29">
        <f t="shared" si="14"/>
        <v>24506.69</v>
      </c>
      <c r="P29">
        <f t="shared" si="15"/>
        <v>0</v>
      </c>
      <c r="Q29">
        <f t="shared" si="16"/>
        <v>19610.759999999998</v>
      </c>
      <c r="R29">
        <f t="shared" si="17"/>
        <v>7746.96</v>
      </c>
      <c r="S29">
        <f t="shared" si="18"/>
        <v>4895.93</v>
      </c>
      <c r="T29">
        <f t="shared" si="19"/>
        <v>0</v>
      </c>
      <c r="U29">
        <f t="shared" si="20"/>
        <v>10.139999999999999</v>
      </c>
      <c r="V29">
        <f t="shared" si="21"/>
        <v>0</v>
      </c>
      <c r="W29">
        <f t="shared" si="22"/>
        <v>0</v>
      </c>
      <c r="X29">
        <f t="shared" si="23"/>
        <v>3427.15</v>
      </c>
      <c r="Y29">
        <f t="shared" si="24"/>
        <v>489.59</v>
      </c>
      <c r="AA29">
        <v>48805144</v>
      </c>
      <c r="AB29">
        <f t="shared" si="25"/>
        <v>145.01</v>
      </c>
      <c r="AC29">
        <f t="shared" si="47"/>
        <v>0</v>
      </c>
      <c r="AD29">
        <f t="shared" si="48"/>
        <v>116.04</v>
      </c>
      <c r="AE29">
        <f t="shared" si="49"/>
        <v>45.84</v>
      </c>
      <c r="AF29">
        <f t="shared" si="49"/>
        <v>28.97</v>
      </c>
      <c r="AG29">
        <f t="shared" si="26"/>
        <v>0</v>
      </c>
      <c r="AH29">
        <f t="shared" si="50"/>
        <v>0.06</v>
      </c>
      <c r="AI29">
        <f t="shared" si="50"/>
        <v>0</v>
      </c>
      <c r="AJ29">
        <f t="shared" si="27"/>
        <v>0</v>
      </c>
      <c r="AK29">
        <v>145.01</v>
      </c>
      <c r="AL29">
        <v>0</v>
      </c>
      <c r="AM29">
        <v>116.04</v>
      </c>
      <c r="AN29">
        <v>45.84</v>
      </c>
      <c r="AO29">
        <v>28.97</v>
      </c>
      <c r="AP29">
        <v>0</v>
      </c>
      <c r="AQ29">
        <v>0.06</v>
      </c>
      <c r="AR29">
        <v>0</v>
      </c>
      <c r="AS29">
        <v>0</v>
      </c>
      <c r="AT29">
        <v>70</v>
      </c>
      <c r="AU29">
        <v>10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4</v>
      </c>
      <c r="BJ29" t="s">
        <v>41</v>
      </c>
      <c r="BM29">
        <v>0</v>
      </c>
      <c r="BN29">
        <v>0</v>
      </c>
      <c r="BO29" t="s">
        <v>3</v>
      </c>
      <c r="BP29">
        <v>0</v>
      </c>
      <c r="BQ29">
        <v>1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70</v>
      </c>
      <c r="CA29">
        <v>10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28"/>
        <v>24506.69</v>
      </c>
      <c r="CQ29">
        <f t="shared" si="29"/>
        <v>0</v>
      </c>
      <c r="CR29">
        <f t="shared" si="51"/>
        <v>116.04</v>
      </c>
      <c r="CS29">
        <f t="shared" si="30"/>
        <v>45.84</v>
      </c>
      <c r="CT29">
        <f t="shared" si="31"/>
        <v>28.97</v>
      </c>
      <c r="CU29">
        <f t="shared" si="32"/>
        <v>0</v>
      </c>
      <c r="CV29">
        <f t="shared" si="33"/>
        <v>0.06</v>
      </c>
      <c r="CW29">
        <f t="shared" si="34"/>
        <v>0</v>
      </c>
      <c r="CX29">
        <f t="shared" si="35"/>
        <v>0</v>
      </c>
      <c r="CY29">
        <f t="shared" si="36"/>
        <v>3427.1510000000003</v>
      </c>
      <c r="CZ29">
        <f t="shared" si="37"/>
        <v>489.59300000000002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1010</v>
      </c>
      <c r="DV29" t="s">
        <v>16</v>
      </c>
      <c r="DW29" t="s">
        <v>16</v>
      </c>
      <c r="DX29">
        <v>1</v>
      </c>
      <c r="DZ29" t="s">
        <v>3</v>
      </c>
      <c r="EA29" t="s">
        <v>3</v>
      </c>
      <c r="EB29" t="s">
        <v>3</v>
      </c>
      <c r="EC29" t="s">
        <v>3</v>
      </c>
      <c r="EE29">
        <v>48160100</v>
      </c>
      <c r="EF29">
        <v>1</v>
      </c>
      <c r="EG29" t="s">
        <v>18</v>
      </c>
      <c r="EH29">
        <v>0</v>
      </c>
      <c r="EI29" t="s">
        <v>3</v>
      </c>
      <c r="EJ29">
        <v>4</v>
      </c>
      <c r="EK29">
        <v>0</v>
      </c>
      <c r="EL29" t="s">
        <v>19</v>
      </c>
      <c r="EM29" t="s">
        <v>20</v>
      </c>
      <c r="EO29" t="s">
        <v>3</v>
      </c>
      <c r="EQ29">
        <v>0</v>
      </c>
      <c r="ER29">
        <v>145.01</v>
      </c>
      <c r="ES29">
        <v>0</v>
      </c>
      <c r="ET29">
        <v>116.04</v>
      </c>
      <c r="EU29">
        <v>45.84</v>
      </c>
      <c r="EV29">
        <v>28.97</v>
      </c>
      <c r="EW29">
        <v>0.06</v>
      </c>
      <c r="EX29">
        <v>0</v>
      </c>
      <c r="EY29">
        <v>0</v>
      </c>
      <c r="FQ29">
        <v>0</v>
      </c>
      <c r="FR29">
        <f t="shared" si="38"/>
        <v>0</v>
      </c>
      <c r="FS29">
        <v>0</v>
      </c>
      <c r="FX29">
        <v>70</v>
      </c>
      <c r="FY29">
        <v>10</v>
      </c>
      <c r="GA29" t="s">
        <v>3</v>
      </c>
      <c r="GD29">
        <v>0</v>
      </c>
      <c r="GF29">
        <v>747582081</v>
      </c>
      <c r="GG29">
        <v>2</v>
      </c>
      <c r="GH29">
        <v>1</v>
      </c>
      <c r="GI29">
        <v>-2</v>
      </c>
      <c r="GJ29">
        <v>0</v>
      </c>
      <c r="GK29">
        <f>ROUND(R29*(R12)/100,2)</f>
        <v>8366.7199999999993</v>
      </c>
      <c r="GL29">
        <f t="shared" si="39"/>
        <v>0</v>
      </c>
      <c r="GM29">
        <f t="shared" si="40"/>
        <v>36790.15</v>
      </c>
      <c r="GN29">
        <f t="shared" si="41"/>
        <v>0</v>
      </c>
      <c r="GO29">
        <f t="shared" si="42"/>
        <v>0</v>
      </c>
      <c r="GP29">
        <f t="shared" si="43"/>
        <v>36790.15</v>
      </c>
      <c r="GR29">
        <v>0</v>
      </c>
      <c r="GS29">
        <v>3</v>
      </c>
      <c r="GT29">
        <v>0</v>
      </c>
      <c r="GU29" t="s">
        <v>3</v>
      </c>
      <c r="GV29">
        <f t="shared" si="44"/>
        <v>0</v>
      </c>
      <c r="GW29">
        <v>1</v>
      </c>
      <c r="GX29">
        <f t="shared" si="45"/>
        <v>0</v>
      </c>
      <c r="HA29">
        <v>0</v>
      </c>
      <c r="HB29">
        <v>0</v>
      </c>
      <c r="HC29">
        <f t="shared" si="46"/>
        <v>0</v>
      </c>
      <c r="HE29" t="s">
        <v>3</v>
      </c>
      <c r="HF29" t="s">
        <v>3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IK29">
        <v>0</v>
      </c>
    </row>
    <row r="30" spans="1:245" x14ac:dyDescent="0.25">
      <c r="A30">
        <v>17</v>
      </c>
      <c r="B30">
        <v>1</v>
      </c>
      <c r="C30">
        <f>ROW(SmtRes!A17)</f>
        <v>17</v>
      </c>
      <c r="D30">
        <f>ROW(EtalonRes!A17)</f>
        <v>17</v>
      </c>
      <c r="E30" t="s">
        <v>42</v>
      </c>
      <c r="F30" t="s">
        <v>43</v>
      </c>
      <c r="G30" t="s">
        <v>44</v>
      </c>
      <c r="H30" t="s">
        <v>16</v>
      </c>
      <c r="I30">
        <v>85</v>
      </c>
      <c r="J30">
        <v>0</v>
      </c>
      <c r="K30">
        <v>85</v>
      </c>
      <c r="O30">
        <f t="shared" si="14"/>
        <v>42691.25</v>
      </c>
      <c r="P30">
        <f t="shared" si="15"/>
        <v>0</v>
      </c>
      <c r="Q30">
        <f t="shared" si="16"/>
        <v>29589.35</v>
      </c>
      <c r="R30">
        <f t="shared" si="17"/>
        <v>11689.2</v>
      </c>
      <c r="S30">
        <f t="shared" si="18"/>
        <v>13101.9</v>
      </c>
      <c r="T30">
        <f t="shared" si="19"/>
        <v>0</v>
      </c>
      <c r="U30">
        <f t="shared" si="20"/>
        <v>28.05</v>
      </c>
      <c r="V30">
        <f t="shared" si="21"/>
        <v>0</v>
      </c>
      <c r="W30">
        <f t="shared" si="22"/>
        <v>0</v>
      </c>
      <c r="X30">
        <f t="shared" si="23"/>
        <v>9171.33</v>
      </c>
      <c r="Y30">
        <f t="shared" si="24"/>
        <v>1310.19</v>
      </c>
      <c r="AA30">
        <v>48805144</v>
      </c>
      <c r="AB30">
        <f t="shared" si="25"/>
        <v>502.25</v>
      </c>
      <c r="AC30">
        <f t="shared" si="47"/>
        <v>0</v>
      </c>
      <c r="AD30">
        <f t="shared" si="48"/>
        <v>348.11</v>
      </c>
      <c r="AE30">
        <f t="shared" si="49"/>
        <v>137.52000000000001</v>
      </c>
      <c r="AF30">
        <f t="shared" si="49"/>
        <v>154.13999999999999</v>
      </c>
      <c r="AG30">
        <f t="shared" si="26"/>
        <v>0</v>
      </c>
      <c r="AH30">
        <f t="shared" si="50"/>
        <v>0.33</v>
      </c>
      <c r="AI30">
        <f t="shared" si="50"/>
        <v>0</v>
      </c>
      <c r="AJ30">
        <f t="shared" si="27"/>
        <v>0</v>
      </c>
      <c r="AK30">
        <v>502.25</v>
      </c>
      <c r="AL30">
        <v>0</v>
      </c>
      <c r="AM30">
        <v>348.11</v>
      </c>
      <c r="AN30">
        <v>137.52000000000001</v>
      </c>
      <c r="AO30">
        <v>154.13999999999999</v>
      </c>
      <c r="AP30">
        <v>0</v>
      </c>
      <c r="AQ30">
        <v>0.33</v>
      </c>
      <c r="AR30">
        <v>0</v>
      </c>
      <c r="AS30">
        <v>0</v>
      </c>
      <c r="AT30">
        <v>70</v>
      </c>
      <c r="AU30">
        <v>10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4</v>
      </c>
      <c r="BJ30" t="s">
        <v>45</v>
      </c>
      <c r="BM30">
        <v>0</v>
      </c>
      <c r="BN30">
        <v>0</v>
      </c>
      <c r="BO30" t="s">
        <v>3</v>
      </c>
      <c r="BP30">
        <v>0</v>
      </c>
      <c r="BQ30">
        <v>1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70</v>
      </c>
      <c r="CA30">
        <v>10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28"/>
        <v>42691.25</v>
      </c>
      <c r="CQ30">
        <f t="shared" si="29"/>
        <v>0</v>
      </c>
      <c r="CR30">
        <f t="shared" si="51"/>
        <v>348.11</v>
      </c>
      <c r="CS30">
        <f t="shared" si="30"/>
        <v>137.52000000000001</v>
      </c>
      <c r="CT30">
        <f t="shared" si="31"/>
        <v>154.13999999999999</v>
      </c>
      <c r="CU30">
        <f t="shared" si="32"/>
        <v>0</v>
      </c>
      <c r="CV30">
        <f t="shared" si="33"/>
        <v>0.33</v>
      </c>
      <c r="CW30">
        <f t="shared" si="34"/>
        <v>0</v>
      </c>
      <c r="CX30">
        <f t="shared" si="35"/>
        <v>0</v>
      </c>
      <c r="CY30">
        <f t="shared" si="36"/>
        <v>9171.33</v>
      </c>
      <c r="CZ30">
        <f t="shared" si="37"/>
        <v>1310.19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1010</v>
      </c>
      <c r="DV30" t="s">
        <v>16</v>
      </c>
      <c r="DW30" t="s">
        <v>16</v>
      </c>
      <c r="DX30">
        <v>1</v>
      </c>
      <c r="DZ30" t="s">
        <v>3</v>
      </c>
      <c r="EA30" t="s">
        <v>3</v>
      </c>
      <c r="EB30" t="s">
        <v>3</v>
      </c>
      <c r="EC30" t="s">
        <v>3</v>
      </c>
      <c r="EE30">
        <v>48160100</v>
      </c>
      <c r="EF30">
        <v>1</v>
      </c>
      <c r="EG30" t="s">
        <v>18</v>
      </c>
      <c r="EH30">
        <v>0</v>
      </c>
      <c r="EI30" t="s">
        <v>3</v>
      </c>
      <c r="EJ30">
        <v>4</v>
      </c>
      <c r="EK30">
        <v>0</v>
      </c>
      <c r="EL30" t="s">
        <v>19</v>
      </c>
      <c r="EM30" t="s">
        <v>20</v>
      </c>
      <c r="EO30" t="s">
        <v>3</v>
      </c>
      <c r="EQ30">
        <v>0</v>
      </c>
      <c r="ER30">
        <v>502.25</v>
      </c>
      <c r="ES30">
        <v>0</v>
      </c>
      <c r="ET30">
        <v>348.11</v>
      </c>
      <c r="EU30">
        <v>137.52000000000001</v>
      </c>
      <c r="EV30">
        <v>154.13999999999999</v>
      </c>
      <c r="EW30">
        <v>0.33</v>
      </c>
      <c r="EX30">
        <v>0</v>
      </c>
      <c r="EY30">
        <v>0</v>
      </c>
      <c r="FQ30">
        <v>0</v>
      </c>
      <c r="FR30">
        <f t="shared" si="38"/>
        <v>0</v>
      </c>
      <c r="FS30">
        <v>0</v>
      </c>
      <c r="FX30">
        <v>70</v>
      </c>
      <c r="FY30">
        <v>10</v>
      </c>
      <c r="GA30" t="s">
        <v>3</v>
      </c>
      <c r="GD30">
        <v>0</v>
      </c>
      <c r="GF30">
        <v>1206973424</v>
      </c>
      <c r="GG30">
        <v>2</v>
      </c>
      <c r="GH30">
        <v>1</v>
      </c>
      <c r="GI30">
        <v>-2</v>
      </c>
      <c r="GJ30">
        <v>0</v>
      </c>
      <c r="GK30">
        <f>ROUND(R30*(R12)/100,2)</f>
        <v>12624.34</v>
      </c>
      <c r="GL30">
        <f t="shared" si="39"/>
        <v>0</v>
      </c>
      <c r="GM30">
        <f t="shared" si="40"/>
        <v>65797.11</v>
      </c>
      <c r="GN30">
        <f t="shared" si="41"/>
        <v>0</v>
      </c>
      <c r="GO30">
        <f t="shared" si="42"/>
        <v>0</v>
      </c>
      <c r="GP30">
        <f t="shared" si="43"/>
        <v>65797.11</v>
      </c>
      <c r="GR30">
        <v>0</v>
      </c>
      <c r="GS30">
        <v>3</v>
      </c>
      <c r="GT30">
        <v>0</v>
      </c>
      <c r="GU30" t="s">
        <v>3</v>
      </c>
      <c r="GV30">
        <f t="shared" si="44"/>
        <v>0</v>
      </c>
      <c r="GW30">
        <v>1</v>
      </c>
      <c r="GX30">
        <f t="shared" si="45"/>
        <v>0</v>
      </c>
      <c r="HA30">
        <v>0</v>
      </c>
      <c r="HB30">
        <v>0</v>
      </c>
      <c r="HC30">
        <f t="shared" si="46"/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IK30">
        <v>0</v>
      </c>
    </row>
    <row r="31" spans="1:245" x14ac:dyDescent="0.25">
      <c r="A31">
        <v>17</v>
      </c>
      <c r="B31">
        <v>1</v>
      </c>
      <c r="C31">
        <f>ROW(SmtRes!A20)</f>
        <v>20</v>
      </c>
      <c r="D31">
        <f>ROW(EtalonRes!A20)</f>
        <v>20</v>
      </c>
      <c r="E31" t="s">
        <v>46</v>
      </c>
      <c r="F31" t="s">
        <v>47</v>
      </c>
      <c r="G31" t="s">
        <v>48</v>
      </c>
      <c r="H31" t="s">
        <v>16</v>
      </c>
      <c r="I31">
        <v>29</v>
      </c>
      <c r="J31">
        <v>0</v>
      </c>
      <c r="K31">
        <v>29</v>
      </c>
      <c r="O31">
        <f t="shared" si="14"/>
        <v>19148.990000000002</v>
      </c>
      <c r="P31">
        <f t="shared" si="15"/>
        <v>0</v>
      </c>
      <c r="Q31">
        <f t="shared" si="16"/>
        <v>13460.06</v>
      </c>
      <c r="R31">
        <f t="shared" si="17"/>
        <v>5317.44</v>
      </c>
      <c r="S31">
        <f t="shared" si="18"/>
        <v>5688.93</v>
      </c>
      <c r="T31">
        <f t="shared" si="19"/>
        <v>0</v>
      </c>
      <c r="U31">
        <f t="shared" si="20"/>
        <v>12.18</v>
      </c>
      <c r="V31">
        <f t="shared" si="21"/>
        <v>0</v>
      </c>
      <c r="W31">
        <f t="shared" si="22"/>
        <v>0</v>
      </c>
      <c r="X31">
        <f t="shared" si="23"/>
        <v>3982.25</v>
      </c>
      <c r="Y31">
        <f t="shared" si="24"/>
        <v>568.89</v>
      </c>
      <c r="AA31">
        <v>48805144</v>
      </c>
      <c r="AB31">
        <f t="shared" si="25"/>
        <v>660.31</v>
      </c>
      <c r="AC31">
        <f t="shared" si="47"/>
        <v>0</v>
      </c>
      <c r="AD31">
        <f t="shared" si="48"/>
        <v>464.14</v>
      </c>
      <c r="AE31">
        <f t="shared" si="49"/>
        <v>183.36</v>
      </c>
      <c r="AF31">
        <f t="shared" si="49"/>
        <v>196.17</v>
      </c>
      <c r="AG31">
        <f t="shared" si="26"/>
        <v>0</v>
      </c>
      <c r="AH31">
        <f t="shared" si="50"/>
        <v>0.42</v>
      </c>
      <c r="AI31">
        <f t="shared" si="50"/>
        <v>0</v>
      </c>
      <c r="AJ31">
        <f t="shared" si="27"/>
        <v>0</v>
      </c>
      <c r="AK31">
        <v>660.31</v>
      </c>
      <c r="AL31">
        <v>0</v>
      </c>
      <c r="AM31">
        <v>464.14</v>
      </c>
      <c r="AN31">
        <v>183.36</v>
      </c>
      <c r="AO31">
        <v>196.17</v>
      </c>
      <c r="AP31">
        <v>0</v>
      </c>
      <c r="AQ31">
        <v>0.42</v>
      </c>
      <c r="AR31">
        <v>0</v>
      </c>
      <c r="AS31">
        <v>0</v>
      </c>
      <c r="AT31">
        <v>70</v>
      </c>
      <c r="AU31">
        <v>10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4</v>
      </c>
      <c r="BJ31" t="s">
        <v>49</v>
      </c>
      <c r="BM31">
        <v>0</v>
      </c>
      <c r="BN31">
        <v>0</v>
      </c>
      <c r="BO31" t="s">
        <v>3</v>
      </c>
      <c r="BP31">
        <v>0</v>
      </c>
      <c r="BQ31">
        <v>1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70</v>
      </c>
      <c r="CA31">
        <v>10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28"/>
        <v>19148.989999999998</v>
      </c>
      <c r="CQ31">
        <f t="shared" si="29"/>
        <v>0</v>
      </c>
      <c r="CR31">
        <f t="shared" si="51"/>
        <v>464.14</v>
      </c>
      <c r="CS31">
        <f t="shared" si="30"/>
        <v>183.36</v>
      </c>
      <c r="CT31">
        <f t="shared" si="31"/>
        <v>196.17</v>
      </c>
      <c r="CU31">
        <f t="shared" si="32"/>
        <v>0</v>
      </c>
      <c r="CV31">
        <f t="shared" si="33"/>
        <v>0.42</v>
      </c>
      <c r="CW31">
        <f t="shared" si="34"/>
        <v>0</v>
      </c>
      <c r="CX31">
        <f t="shared" si="35"/>
        <v>0</v>
      </c>
      <c r="CY31">
        <f t="shared" si="36"/>
        <v>3982.2510000000002</v>
      </c>
      <c r="CZ31">
        <f t="shared" si="37"/>
        <v>568.89300000000003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1010</v>
      </c>
      <c r="DV31" t="s">
        <v>16</v>
      </c>
      <c r="DW31" t="s">
        <v>16</v>
      </c>
      <c r="DX31">
        <v>1</v>
      </c>
      <c r="DZ31" t="s">
        <v>3</v>
      </c>
      <c r="EA31" t="s">
        <v>3</v>
      </c>
      <c r="EB31" t="s">
        <v>3</v>
      </c>
      <c r="EC31" t="s">
        <v>3</v>
      </c>
      <c r="EE31">
        <v>48160100</v>
      </c>
      <c r="EF31">
        <v>1</v>
      </c>
      <c r="EG31" t="s">
        <v>18</v>
      </c>
      <c r="EH31">
        <v>0</v>
      </c>
      <c r="EI31" t="s">
        <v>3</v>
      </c>
      <c r="EJ31">
        <v>4</v>
      </c>
      <c r="EK31">
        <v>0</v>
      </c>
      <c r="EL31" t="s">
        <v>19</v>
      </c>
      <c r="EM31" t="s">
        <v>20</v>
      </c>
      <c r="EO31" t="s">
        <v>3</v>
      </c>
      <c r="EQ31">
        <v>0</v>
      </c>
      <c r="ER31">
        <v>660.31</v>
      </c>
      <c r="ES31">
        <v>0</v>
      </c>
      <c r="ET31">
        <v>464.14</v>
      </c>
      <c r="EU31">
        <v>183.36</v>
      </c>
      <c r="EV31">
        <v>196.17</v>
      </c>
      <c r="EW31">
        <v>0.42</v>
      </c>
      <c r="EX31">
        <v>0</v>
      </c>
      <c r="EY31">
        <v>0</v>
      </c>
      <c r="FQ31">
        <v>0</v>
      </c>
      <c r="FR31">
        <f t="shared" si="38"/>
        <v>0</v>
      </c>
      <c r="FS31">
        <v>0</v>
      </c>
      <c r="FX31">
        <v>70</v>
      </c>
      <c r="FY31">
        <v>10</v>
      </c>
      <c r="GA31" t="s">
        <v>3</v>
      </c>
      <c r="GD31">
        <v>0</v>
      </c>
      <c r="GF31">
        <v>-1187737210</v>
      </c>
      <c r="GG31">
        <v>2</v>
      </c>
      <c r="GH31">
        <v>1</v>
      </c>
      <c r="GI31">
        <v>-2</v>
      </c>
      <c r="GJ31">
        <v>0</v>
      </c>
      <c r="GK31">
        <f>ROUND(R31*(R12)/100,2)</f>
        <v>5742.84</v>
      </c>
      <c r="GL31">
        <f t="shared" si="39"/>
        <v>0</v>
      </c>
      <c r="GM31">
        <f t="shared" si="40"/>
        <v>29442.97</v>
      </c>
      <c r="GN31">
        <f t="shared" si="41"/>
        <v>0</v>
      </c>
      <c r="GO31">
        <f t="shared" si="42"/>
        <v>0</v>
      </c>
      <c r="GP31">
        <f t="shared" si="43"/>
        <v>29442.97</v>
      </c>
      <c r="GR31">
        <v>0</v>
      </c>
      <c r="GS31">
        <v>3</v>
      </c>
      <c r="GT31">
        <v>0</v>
      </c>
      <c r="GU31" t="s">
        <v>3</v>
      </c>
      <c r="GV31">
        <f t="shared" si="44"/>
        <v>0</v>
      </c>
      <c r="GW31">
        <v>1</v>
      </c>
      <c r="GX31">
        <f t="shared" si="45"/>
        <v>0</v>
      </c>
      <c r="HA31">
        <v>0</v>
      </c>
      <c r="HB31">
        <v>0</v>
      </c>
      <c r="HC31">
        <f t="shared" si="46"/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IK31">
        <v>0</v>
      </c>
    </row>
    <row r="32" spans="1:245" x14ac:dyDescent="0.25">
      <c r="A32">
        <v>17</v>
      </c>
      <c r="B32">
        <v>1</v>
      </c>
      <c r="C32">
        <f>ROW(SmtRes!A21)</f>
        <v>21</v>
      </c>
      <c r="D32">
        <f>ROW(EtalonRes!A21)</f>
        <v>21</v>
      </c>
      <c r="E32" t="s">
        <v>50</v>
      </c>
      <c r="F32" t="s">
        <v>51</v>
      </c>
      <c r="G32" t="s">
        <v>52</v>
      </c>
      <c r="H32" t="s">
        <v>53</v>
      </c>
      <c r="I32">
        <v>61.024700000000003</v>
      </c>
      <c r="J32">
        <v>0</v>
      </c>
      <c r="K32">
        <v>61.024700000000003</v>
      </c>
      <c r="O32">
        <f t="shared" si="14"/>
        <v>11956.57</v>
      </c>
      <c r="P32">
        <f t="shared" si="15"/>
        <v>0</v>
      </c>
      <c r="Q32">
        <f t="shared" si="16"/>
        <v>0</v>
      </c>
      <c r="R32">
        <f t="shared" si="17"/>
        <v>0</v>
      </c>
      <c r="S32">
        <f t="shared" si="18"/>
        <v>11956.57</v>
      </c>
      <c r="T32">
        <f t="shared" si="19"/>
        <v>0</v>
      </c>
      <c r="U32">
        <f t="shared" si="20"/>
        <v>27.461115000000003</v>
      </c>
      <c r="V32">
        <f t="shared" si="21"/>
        <v>0</v>
      </c>
      <c r="W32">
        <f t="shared" si="22"/>
        <v>0</v>
      </c>
      <c r="X32">
        <f t="shared" si="23"/>
        <v>8369.6</v>
      </c>
      <c r="Y32">
        <f t="shared" si="24"/>
        <v>1195.6600000000001</v>
      </c>
      <c r="AA32">
        <v>48805144</v>
      </c>
      <c r="AB32">
        <f t="shared" si="25"/>
        <v>195.93</v>
      </c>
      <c r="AC32">
        <f t="shared" si="47"/>
        <v>0</v>
      </c>
      <c r="AD32">
        <f t="shared" si="48"/>
        <v>0</v>
      </c>
      <c r="AE32">
        <f t="shared" si="49"/>
        <v>0</v>
      </c>
      <c r="AF32">
        <f t="shared" si="49"/>
        <v>195.93</v>
      </c>
      <c r="AG32">
        <f t="shared" si="26"/>
        <v>0</v>
      </c>
      <c r="AH32">
        <f t="shared" si="50"/>
        <v>0.45</v>
      </c>
      <c r="AI32">
        <f t="shared" si="50"/>
        <v>0</v>
      </c>
      <c r="AJ32">
        <f t="shared" si="27"/>
        <v>0</v>
      </c>
      <c r="AK32">
        <v>195.93</v>
      </c>
      <c r="AL32">
        <v>0</v>
      </c>
      <c r="AM32">
        <v>0</v>
      </c>
      <c r="AN32">
        <v>0</v>
      </c>
      <c r="AO32">
        <v>195.93</v>
      </c>
      <c r="AP32">
        <v>0</v>
      </c>
      <c r="AQ32">
        <v>0.45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54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28"/>
        <v>11956.57</v>
      </c>
      <c r="CQ32">
        <f t="shared" si="29"/>
        <v>0</v>
      </c>
      <c r="CR32">
        <f t="shared" si="51"/>
        <v>0</v>
      </c>
      <c r="CS32">
        <f t="shared" si="30"/>
        <v>0</v>
      </c>
      <c r="CT32">
        <f t="shared" si="31"/>
        <v>195.93</v>
      </c>
      <c r="CU32">
        <f t="shared" si="32"/>
        <v>0</v>
      </c>
      <c r="CV32">
        <f t="shared" si="33"/>
        <v>0.45</v>
      </c>
      <c r="CW32">
        <f t="shared" si="34"/>
        <v>0</v>
      </c>
      <c r="CX32">
        <f t="shared" si="35"/>
        <v>0</v>
      </c>
      <c r="CY32">
        <f t="shared" si="36"/>
        <v>8369.5990000000002</v>
      </c>
      <c r="CZ32">
        <f t="shared" si="37"/>
        <v>1195.6569999999999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34775387</v>
      </c>
      <c r="DV32" t="s">
        <v>53</v>
      </c>
      <c r="DW32" t="s">
        <v>53</v>
      </c>
      <c r="DX32">
        <v>1</v>
      </c>
      <c r="DZ32" t="s">
        <v>3</v>
      </c>
      <c r="EA32" t="s">
        <v>3</v>
      </c>
      <c r="EB32" t="s">
        <v>3</v>
      </c>
      <c r="EC32" t="s">
        <v>3</v>
      </c>
      <c r="EE32">
        <v>48160100</v>
      </c>
      <c r="EF32">
        <v>1</v>
      </c>
      <c r="EG32" t="s">
        <v>18</v>
      </c>
      <c r="EH32">
        <v>0</v>
      </c>
      <c r="EI32" t="s">
        <v>3</v>
      </c>
      <c r="EJ32">
        <v>4</v>
      </c>
      <c r="EK32">
        <v>0</v>
      </c>
      <c r="EL32" t="s">
        <v>19</v>
      </c>
      <c r="EM32" t="s">
        <v>20</v>
      </c>
      <c r="EO32" t="s">
        <v>3</v>
      </c>
      <c r="EQ32">
        <v>0</v>
      </c>
      <c r="ER32">
        <v>195.93</v>
      </c>
      <c r="ES32">
        <v>0</v>
      </c>
      <c r="ET32">
        <v>0</v>
      </c>
      <c r="EU32">
        <v>0</v>
      </c>
      <c r="EV32">
        <v>195.93</v>
      </c>
      <c r="EW32">
        <v>0.45</v>
      </c>
      <c r="EX32">
        <v>0</v>
      </c>
      <c r="EY32">
        <v>0</v>
      </c>
      <c r="FQ32">
        <v>0</v>
      </c>
      <c r="FR32">
        <f t="shared" si="38"/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474869030</v>
      </c>
      <c r="GG32">
        <v>2</v>
      </c>
      <c r="GH32">
        <v>1</v>
      </c>
      <c r="GI32">
        <v>-2</v>
      </c>
      <c r="GJ32">
        <v>0</v>
      </c>
      <c r="GK32">
        <f>ROUND(R32*(R12)/100,2)</f>
        <v>0</v>
      </c>
      <c r="GL32">
        <f t="shared" si="39"/>
        <v>0</v>
      </c>
      <c r="GM32">
        <f t="shared" si="40"/>
        <v>21521.83</v>
      </c>
      <c r="GN32">
        <f t="shared" si="41"/>
        <v>0</v>
      </c>
      <c r="GO32">
        <f t="shared" si="42"/>
        <v>0</v>
      </c>
      <c r="GP32">
        <f t="shared" si="43"/>
        <v>21521.83</v>
      </c>
      <c r="GR32">
        <v>0</v>
      </c>
      <c r="GS32">
        <v>3</v>
      </c>
      <c r="GT32">
        <v>0</v>
      </c>
      <c r="GU32" t="s">
        <v>3</v>
      </c>
      <c r="GV32">
        <f t="shared" si="44"/>
        <v>0</v>
      </c>
      <c r="GW32">
        <v>1</v>
      </c>
      <c r="GX32">
        <f t="shared" si="45"/>
        <v>0</v>
      </c>
      <c r="HA32">
        <v>0</v>
      </c>
      <c r="HB32">
        <v>0</v>
      </c>
      <c r="HC32">
        <f t="shared" si="46"/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5">
      <c r="A33">
        <v>17</v>
      </c>
      <c r="B33">
        <v>1</v>
      </c>
      <c r="C33">
        <f>ROW(SmtRes!A22)</f>
        <v>22</v>
      </c>
      <c r="D33">
        <f>ROW(EtalonRes!A22)</f>
        <v>22</v>
      </c>
      <c r="E33" t="s">
        <v>55</v>
      </c>
      <c r="F33" t="s">
        <v>56</v>
      </c>
      <c r="G33" t="s">
        <v>57</v>
      </c>
      <c r="H33" t="s">
        <v>53</v>
      </c>
      <c r="I33">
        <v>120.8</v>
      </c>
      <c r="J33">
        <v>0</v>
      </c>
      <c r="K33">
        <v>120.8</v>
      </c>
      <c r="O33">
        <f t="shared" si="14"/>
        <v>31031.1</v>
      </c>
      <c r="P33">
        <f t="shared" si="15"/>
        <v>0</v>
      </c>
      <c r="Q33">
        <f t="shared" si="16"/>
        <v>0</v>
      </c>
      <c r="R33">
        <f t="shared" si="17"/>
        <v>0</v>
      </c>
      <c r="S33">
        <f t="shared" si="18"/>
        <v>31031.1</v>
      </c>
      <c r="T33">
        <f t="shared" si="19"/>
        <v>0</v>
      </c>
      <c r="U33">
        <f t="shared" si="20"/>
        <v>71.271999999999991</v>
      </c>
      <c r="V33">
        <f t="shared" si="21"/>
        <v>0</v>
      </c>
      <c r="W33">
        <f t="shared" si="22"/>
        <v>0</v>
      </c>
      <c r="X33">
        <f t="shared" si="23"/>
        <v>21721.77</v>
      </c>
      <c r="Y33">
        <f t="shared" si="24"/>
        <v>3103.11</v>
      </c>
      <c r="AA33">
        <v>48805144</v>
      </c>
      <c r="AB33">
        <f t="shared" si="25"/>
        <v>256.88</v>
      </c>
      <c r="AC33">
        <f t="shared" si="47"/>
        <v>0</v>
      </c>
      <c r="AD33">
        <f t="shared" si="48"/>
        <v>0</v>
      </c>
      <c r="AE33">
        <f t="shared" si="49"/>
        <v>0</v>
      </c>
      <c r="AF33">
        <f t="shared" si="49"/>
        <v>256.88</v>
      </c>
      <c r="AG33">
        <f t="shared" si="26"/>
        <v>0</v>
      </c>
      <c r="AH33">
        <f t="shared" si="50"/>
        <v>0.59</v>
      </c>
      <c r="AI33">
        <f t="shared" si="50"/>
        <v>0</v>
      </c>
      <c r="AJ33">
        <f t="shared" si="27"/>
        <v>0</v>
      </c>
      <c r="AK33">
        <v>256.88</v>
      </c>
      <c r="AL33">
        <v>0</v>
      </c>
      <c r="AM33">
        <v>0</v>
      </c>
      <c r="AN33">
        <v>0</v>
      </c>
      <c r="AO33">
        <v>256.88</v>
      </c>
      <c r="AP33">
        <v>0</v>
      </c>
      <c r="AQ33">
        <v>0.59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58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28"/>
        <v>31031.1</v>
      </c>
      <c r="CQ33">
        <f t="shared" si="29"/>
        <v>0</v>
      </c>
      <c r="CR33">
        <f t="shared" si="51"/>
        <v>0</v>
      </c>
      <c r="CS33">
        <f t="shared" si="30"/>
        <v>0</v>
      </c>
      <c r="CT33">
        <f t="shared" si="31"/>
        <v>256.88</v>
      </c>
      <c r="CU33">
        <f t="shared" si="32"/>
        <v>0</v>
      </c>
      <c r="CV33">
        <f t="shared" si="33"/>
        <v>0.59</v>
      </c>
      <c r="CW33">
        <f t="shared" si="34"/>
        <v>0</v>
      </c>
      <c r="CX33">
        <f t="shared" si="35"/>
        <v>0</v>
      </c>
      <c r="CY33">
        <f t="shared" si="36"/>
        <v>21721.77</v>
      </c>
      <c r="CZ33">
        <f t="shared" si="37"/>
        <v>3103.11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34775387</v>
      </c>
      <c r="DV33" t="s">
        <v>53</v>
      </c>
      <c r="DW33" t="s">
        <v>53</v>
      </c>
      <c r="DX33">
        <v>1</v>
      </c>
      <c r="DZ33" t="s">
        <v>3</v>
      </c>
      <c r="EA33" t="s">
        <v>3</v>
      </c>
      <c r="EB33" t="s">
        <v>3</v>
      </c>
      <c r="EC33" t="s">
        <v>3</v>
      </c>
      <c r="EE33">
        <v>48160100</v>
      </c>
      <c r="EF33">
        <v>1</v>
      </c>
      <c r="EG33" t="s">
        <v>18</v>
      </c>
      <c r="EH33">
        <v>0</v>
      </c>
      <c r="EI33" t="s">
        <v>3</v>
      </c>
      <c r="EJ33">
        <v>4</v>
      </c>
      <c r="EK33">
        <v>0</v>
      </c>
      <c r="EL33" t="s">
        <v>19</v>
      </c>
      <c r="EM33" t="s">
        <v>20</v>
      </c>
      <c r="EO33" t="s">
        <v>3</v>
      </c>
      <c r="EQ33">
        <v>0</v>
      </c>
      <c r="ER33">
        <v>256.88</v>
      </c>
      <c r="ES33">
        <v>0</v>
      </c>
      <c r="ET33">
        <v>0</v>
      </c>
      <c r="EU33">
        <v>0</v>
      </c>
      <c r="EV33">
        <v>256.88</v>
      </c>
      <c r="EW33">
        <v>0.59</v>
      </c>
      <c r="EX33">
        <v>0</v>
      </c>
      <c r="EY33">
        <v>0</v>
      </c>
      <c r="FQ33">
        <v>0</v>
      </c>
      <c r="FR33">
        <f t="shared" si="38"/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-1876487666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39"/>
        <v>0</v>
      </c>
      <c r="GM33">
        <f t="shared" si="40"/>
        <v>55855.98</v>
      </c>
      <c r="GN33">
        <f t="shared" si="41"/>
        <v>0</v>
      </c>
      <c r="GO33">
        <f t="shared" si="42"/>
        <v>0</v>
      </c>
      <c r="GP33">
        <f t="shared" si="43"/>
        <v>55855.98</v>
      </c>
      <c r="GR33">
        <v>0</v>
      </c>
      <c r="GS33">
        <v>3</v>
      </c>
      <c r="GT33">
        <v>0</v>
      </c>
      <c r="GU33" t="s">
        <v>3</v>
      </c>
      <c r="GV33">
        <f t="shared" si="44"/>
        <v>0</v>
      </c>
      <c r="GW33">
        <v>1</v>
      </c>
      <c r="GX33">
        <f t="shared" si="45"/>
        <v>0</v>
      </c>
      <c r="HA33">
        <v>0</v>
      </c>
      <c r="HB33">
        <v>0</v>
      </c>
      <c r="HC33">
        <f t="shared" si="46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5">
      <c r="A34">
        <v>17</v>
      </c>
      <c r="B34">
        <v>1</v>
      </c>
      <c r="C34">
        <f>ROW(SmtRes!A23)</f>
        <v>23</v>
      </c>
      <c r="D34">
        <f>ROW(EtalonRes!A23)</f>
        <v>23</v>
      </c>
      <c r="E34" t="s">
        <v>59</v>
      </c>
      <c r="F34" t="s">
        <v>60</v>
      </c>
      <c r="G34" t="s">
        <v>61</v>
      </c>
      <c r="H34" t="s">
        <v>62</v>
      </c>
      <c r="I34">
        <v>77.5</v>
      </c>
      <c r="J34">
        <v>0</v>
      </c>
      <c r="K34">
        <v>77.5</v>
      </c>
      <c r="O34">
        <f t="shared" si="14"/>
        <v>18823.98</v>
      </c>
      <c r="P34">
        <f t="shared" si="15"/>
        <v>0</v>
      </c>
      <c r="Q34">
        <f t="shared" si="16"/>
        <v>18823.98</v>
      </c>
      <c r="R34">
        <f t="shared" si="17"/>
        <v>5848.15</v>
      </c>
      <c r="S34">
        <f t="shared" si="18"/>
        <v>0</v>
      </c>
      <c r="T34">
        <f t="shared" si="19"/>
        <v>0</v>
      </c>
      <c r="U34">
        <f t="shared" si="20"/>
        <v>0</v>
      </c>
      <c r="V34">
        <f t="shared" si="21"/>
        <v>0</v>
      </c>
      <c r="W34">
        <f t="shared" si="22"/>
        <v>0</v>
      </c>
      <c r="X34">
        <f t="shared" si="23"/>
        <v>0</v>
      </c>
      <c r="Y34">
        <f t="shared" si="24"/>
        <v>0</v>
      </c>
      <c r="AA34">
        <v>48805144</v>
      </c>
      <c r="AB34">
        <f t="shared" si="25"/>
        <v>242.89</v>
      </c>
      <c r="AC34">
        <f t="shared" si="47"/>
        <v>0</v>
      </c>
      <c r="AD34">
        <f t="shared" si="48"/>
        <v>242.89</v>
      </c>
      <c r="AE34">
        <f t="shared" si="49"/>
        <v>75.459999999999994</v>
      </c>
      <c r="AF34">
        <f t="shared" si="49"/>
        <v>0</v>
      </c>
      <c r="AG34">
        <f t="shared" si="26"/>
        <v>0</v>
      </c>
      <c r="AH34">
        <f t="shared" si="50"/>
        <v>0</v>
      </c>
      <c r="AI34">
        <f t="shared" si="50"/>
        <v>0</v>
      </c>
      <c r="AJ34">
        <f t="shared" si="27"/>
        <v>0</v>
      </c>
      <c r="AK34">
        <v>242.89</v>
      </c>
      <c r="AL34">
        <v>0</v>
      </c>
      <c r="AM34">
        <v>242.89</v>
      </c>
      <c r="AN34">
        <v>75.459999999999994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63</v>
      </c>
      <c r="BM34">
        <v>1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0</v>
      </c>
      <c r="CA34">
        <v>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28"/>
        <v>18823.98</v>
      </c>
      <c r="CQ34">
        <f t="shared" si="29"/>
        <v>0</v>
      </c>
      <c r="CR34">
        <f t="shared" si="51"/>
        <v>242.89</v>
      </c>
      <c r="CS34">
        <f t="shared" si="30"/>
        <v>75.459999999999994</v>
      </c>
      <c r="CT34">
        <f t="shared" si="31"/>
        <v>0</v>
      </c>
      <c r="CU34">
        <f t="shared" si="32"/>
        <v>0</v>
      </c>
      <c r="CV34">
        <f t="shared" si="33"/>
        <v>0</v>
      </c>
      <c r="CW34">
        <f t="shared" si="34"/>
        <v>0</v>
      </c>
      <c r="CX34">
        <f t="shared" si="35"/>
        <v>0</v>
      </c>
      <c r="CY34">
        <f t="shared" si="36"/>
        <v>0</v>
      </c>
      <c r="CZ34">
        <f t="shared" si="37"/>
        <v>0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1009</v>
      </c>
      <c r="DV34" t="s">
        <v>62</v>
      </c>
      <c r="DW34" t="s">
        <v>62</v>
      </c>
      <c r="DX34">
        <v>1000</v>
      </c>
      <c r="DZ34" t="s">
        <v>3</v>
      </c>
      <c r="EA34" t="s">
        <v>3</v>
      </c>
      <c r="EB34" t="s">
        <v>3</v>
      </c>
      <c r="EC34" t="s">
        <v>3</v>
      </c>
      <c r="EE34">
        <v>48160102</v>
      </c>
      <c r="EF34">
        <v>1</v>
      </c>
      <c r="EG34" t="s">
        <v>18</v>
      </c>
      <c r="EH34">
        <v>0</v>
      </c>
      <c r="EI34" t="s">
        <v>3</v>
      </c>
      <c r="EJ34">
        <v>4</v>
      </c>
      <c r="EK34">
        <v>1</v>
      </c>
      <c r="EL34" t="s">
        <v>64</v>
      </c>
      <c r="EM34" t="s">
        <v>20</v>
      </c>
      <c r="EO34" t="s">
        <v>3</v>
      </c>
      <c r="EQ34">
        <v>0</v>
      </c>
      <c r="ER34">
        <v>242.89</v>
      </c>
      <c r="ES34">
        <v>0</v>
      </c>
      <c r="ET34">
        <v>242.89</v>
      </c>
      <c r="EU34">
        <v>75.459999999999994</v>
      </c>
      <c r="EV34">
        <v>0</v>
      </c>
      <c r="EW34">
        <v>0</v>
      </c>
      <c r="EX34">
        <v>0</v>
      </c>
      <c r="EY34">
        <v>0</v>
      </c>
      <c r="FQ34">
        <v>0</v>
      </c>
      <c r="FR34">
        <f t="shared" si="38"/>
        <v>0</v>
      </c>
      <c r="FS34">
        <v>0</v>
      </c>
      <c r="FX34">
        <v>0</v>
      </c>
      <c r="FY34">
        <v>0</v>
      </c>
      <c r="GA34" t="s">
        <v>3</v>
      </c>
      <c r="GD34">
        <v>1</v>
      </c>
      <c r="GF34">
        <v>1085291567</v>
      </c>
      <c r="GG34">
        <v>2</v>
      </c>
      <c r="GH34">
        <v>1</v>
      </c>
      <c r="GI34">
        <v>-2</v>
      </c>
      <c r="GJ34">
        <v>0</v>
      </c>
      <c r="GK34">
        <v>0</v>
      </c>
      <c r="GL34">
        <f t="shared" si="39"/>
        <v>0</v>
      </c>
      <c r="GM34">
        <f>ROUND(O34+X34+Y34,2)+GX34</f>
        <v>18823.98</v>
      </c>
      <c r="GN34">
        <f t="shared" si="41"/>
        <v>0</v>
      </c>
      <c r="GO34">
        <f t="shared" si="42"/>
        <v>0</v>
      </c>
      <c r="GP34">
        <f t="shared" si="43"/>
        <v>18823.98</v>
      </c>
      <c r="GR34">
        <v>0</v>
      </c>
      <c r="GS34">
        <v>3</v>
      </c>
      <c r="GT34">
        <v>0</v>
      </c>
      <c r="GU34" t="s">
        <v>3</v>
      </c>
      <c r="GV34">
        <f t="shared" si="44"/>
        <v>0</v>
      </c>
      <c r="GW34">
        <v>1</v>
      </c>
      <c r="GX34">
        <f t="shared" si="45"/>
        <v>0</v>
      </c>
      <c r="HA34">
        <v>0</v>
      </c>
      <c r="HB34">
        <v>0</v>
      </c>
      <c r="HC34">
        <f t="shared" si="46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5">
      <c r="A35">
        <v>17</v>
      </c>
      <c r="B35">
        <v>1</v>
      </c>
      <c r="C35">
        <f>ROW(SmtRes!A24)</f>
        <v>24</v>
      </c>
      <c r="D35">
        <f>ROW(EtalonRes!A24)</f>
        <v>24</v>
      </c>
      <c r="E35" t="s">
        <v>65</v>
      </c>
      <c r="F35" t="s">
        <v>66</v>
      </c>
      <c r="G35" t="s">
        <v>67</v>
      </c>
      <c r="H35" t="s">
        <v>62</v>
      </c>
      <c r="I35">
        <v>77.5</v>
      </c>
      <c r="J35">
        <v>0</v>
      </c>
      <c r="K35">
        <v>77.5</v>
      </c>
      <c r="O35">
        <f t="shared" si="14"/>
        <v>197904</v>
      </c>
      <c r="P35">
        <f t="shared" si="15"/>
        <v>0</v>
      </c>
      <c r="Q35">
        <f t="shared" si="16"/>
        <v>197904</v>
      </c>
      <c r="R35">
        <f t="shared" si="17"/>
        <v>102225.60000000001</v>
      </c>
      <c r="S35">
        <f t="shared" si="18"/>
        <v>0</v>
      </c>
      <c r="T35">
        <f t="shared" si="19"/>
        <v>0</v>
      </c>
      <c r="U35">
        <f t="shared" si="20"/>
        <v>0</v>
      </c>
      <c r="V35">
        <f t="shared" si="21"/>
        <v>0</v>
      </c>
      <c r="W35">
        <f t="shared" si="22"/>
        <v>0</v>
      </c>
      <c r="X35">
        <f t="shared" si="23"/>
        <v>0</v>
      </c>
      <c r="Y35">
        <f t="shared" si="24"/>
        <v>0</v>
      </c>
      <c r="AA35">
        <v>48805144</v>
      </c>
      <c r="AB35">
        <f t="shared" si="25"/>
        <v>2553.6</v>
      </c>
      <c r="AC35">
        <f t="shared" si="47"/>
        <v>0</v>
      </c>
      <c r="AD35">
        <f>ROUND(((((ET35*64))-((EU35*64)))+AE35),6)</f>
        <v>2553.6</v>
      </c>
      <c r="AE35">
        <f>ROUND(((EU35*64)),6)</f>
        <v>1319.04</v>
      </c>
      <c r="AF35">
        <f>ROUND((EV35),6)</f>
        <v>0</v>
      </c>
      <c r="AG35">
        <f t="shared" si="26"/>
        <v>0</v>
      </c>
      <c r="AH35">
        <f>(EW35)</f>
        <v>0</v>
      </c>
      <c r="AI35">
        <f>((EX35*64))</f>
        <v>0</v>
      </c>
      <c r="AJ35">
        <f t="shared" si="27"/>
        <v>0</v>
      </c>
      <c r="AK35">
        <v>39.9</v>
      </c>
      <c r="AL35">
        <v>0</v>
      </c>
      <c r="AM35">
        <v>39.9</v>
      </c>
      <c r="AN35">
        <v>20.61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68</v>
      </c>
      <c r="BM35">
        <v>1</v>
      </c>
      <c r="BN35">
        <v>0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0</v>
      </c>
      <c r="CA35">
        <v>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28"/>
        <v>197904</v>
      </c>
      <c r="CQ35">
        <f t="shared" si="29"/>
        <v>0</v>
      </c>
      <c r="CR35">
        <f>(((((ET35*64))*BB35-((EU35*64))*BS35)+AE35*BS35)*AV35)</f>
        <v>2553.6</v>
      </c>
      <c r="CS35">
        <f t="shared" si="30"/>
        <v>1319.04</v>
      </c>
      <c r="CT35">
        <f t="shared" si="31"/>
        <v>0</v>
      </c>
      <c r="CU35">
        <f t="shared" si="32"/>
        <v>0</v>
      </c>
      <c r="CV35">
        <f t="shared" si="33"/>
        <v>0</v>
      </c>
      <c r="CW35">
        <f t="shared" si="34"/>
        <v>0</v>
      </c>
      <c r="CX35">
        <f t="shared" si="35"/>
        <v>0</v>
      </c>
      <c r="CY35">
        <f t="shared" si="36"/>
        <v>0</v>
      </c>
      <c r="CZ35">
        <f t="shared" si="37"/>
        <v>0</v>
      </c>
      <c r="DC35" t="s">
        <v>3</v>
      </c>
      <c r="DD35" t="s">
        <v>3</v>
      </c>
      <c r="DE35" t="s">
        <v>69</v>
      </c>
      <c r="DF35" t="s">
        <v>69</v>
      </c>
      <c r="DG35" t="s">
        <v>3</v>
      </c>
      <c r="DH35" t="s">
        <v>3</v>
      </c>
      <c r="DI35" t="s">
        <v>3</v>
      </c>
      <c r="DJ35" t="s">
        <v>69</v>
      </c>
      <c r="DK35" t="s">
        <v>3</v>
      </c>
      <c r="DL35" t="s">
        <v>3</v>
      </c>
      <c r="DM35" t="s">
        <v>69</v>
      </c>
      <c r="DN35">
        <v>0</v>
      </c>
      <c r="DO35">
        <v>0</v>
      </c>
      <c r="DP35">
        <v>1</v>
      </c>
      <c r="DQ35">
        <v>1</v>
      </c>
      <c r="DU35">
        <v>1009</v>
      </c>
      <c r="DV35" t="s">
        <v>62</v>
      </c>
      <c r="DW35" t="s">
        <v>62</v>
      </c>
      <c r="DX35">
        <v>1000</v>
      </c>
      <c r="DZ35" t="s">
        <v>3</v>
      </c>
      <c r="EA35" t="s">
        <v>3</v>
      </c>
      <c r="EB35" t="s">
        <v>3</v>
      </c>
      <c r="EC35" t="s">
        <v>3</v>
      </c>
      <c r="EE35">
        <v>48160102</v>
      </c>
      <c r="EF35">
        <v>1</v>
      </c>
      <c r="EG35" t="s">
        <v>18</v>
      </c>
      <c r="EH35">
        <v>0</v>
      </c>
      <c r="EI35" t="s">
        <v>3</v>
      </c>
      <c r="EJ35">
        <v>4</v>
      </c>
      <c r="EK35">
        <v>1</v>
      </c>
      <c r="EL35" t="s">
        <v>64</v>
      </c>
      <c r="EM35" t="s">
        <v>20</v>
      </c>
      <c r="EO35" t="s">
        <v>3</v>
      </c>
      <c r="EQ35">
        <v>0</v>
      </c>
      <c r="ER35">
        <v>39.9</v>
      </c>
      <c r="ES35">
        <v>0</v>
      </c>
      <c r="ET35">
        <v>39.9</v>
      </c>
      <c r="EU35">
        <v>20.61</v>
      </c>
      <c r="EV35">
        <v>0</v>
      </c>
      <c r="EW35">
        <v>0</v>
      </c>
      <c r="EX35">
        <v>0</v>
      </c>
      <c r="EY35">
        <v>0</v>
      </c>
      <c r="FQ35">
        <v>0</v>
      </c>
      <c r="FR35">
        <f t="shared" si="38"/>
        <v>0</v>
      </c>
      <c r="FS35">
        <v>0</v>
      </c>
      <c r="FX35">
        <v>0</v>
      </c>
      <c r="FY35">
        <v>0</v>
      </c>
      <c r="GA35" t="s">
        <v>3</v>
      </c>
      <c r="GD35">
        <v>1</v>
      </c>
      <c r="GF35">
        <v>1856976135</v>
      </c>
      <c r="GG35">
        <v>2</v>
      </c>
      <c r="GH35">
        <v>1</v>
      </c>
      <c r="GI35">
        <v>-2</v>
      </c>
      <c r="GJ35">
        <v>0</v>
      </c>
      <c r="GK35">
        <v>0</v>
      </c>
      <c r="GL35">
        <f t="shared" si="39"/>
        <v>0</v>
      </c>
      <c r="GM35">
        <f>ROUND(O35+X35+Y35,2)+GX35</f>
        <v>197904</v>
      </c>
      <c r="GN35">
        <f t="shared" si="41"/>
        <v>0</v>
      </c>
      <c r="GO35">
        <f t="shared" si="42"/>
        <v>0</v>
      </c>
      <c r="GP35">
        <f t="shared" si="43"/>
        <v>197904</v>
      </c>
      <c r="GR35">
        <v>0</v>
      </c>
      <c r="GS35">
        <v>3</v>
      </c>
      <c r="GT35">
        <v>0</v>
      </c>
      <c r="GU35" t="s">
        <v>3</v>
      </c>
      <c r="GV35">
        <f t="shared" si="44"/>
        <v>0</v>
      </c>
      <c r="GW35">
        <v>1</v>
      </c>
      <c r="GX35">
        <f t="shared" si="45"/>
        <v>0</v>
      </c>
      <c r="HA35">
        <v>0</v>
      </c>
      <c r="HB35">
        <v>0</v>
      </c>
      <c r="HC35">
        <f t="shared" si="46"/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7" spans="1:245" x14ac:dyDescent="0.25">
      <c r="A37" s="2">
        <v>51</v>
      </c>
      <c r="B37" s="2">
        <f>B20</f>
        <v>1</v>
      </c>
      <c r="C37" s="2">
        <f>A20</f>
        <v>3</v>
      </c>
      <c r="D37" s="2">
        <f>ROW(A20)</f>
        <v>20</v>
      </c>
      <c r="E37" s="2"/>
      <c r="F37" s="2" t="str">
        <f>IF(F20&lt;&gt;"",F20,"")</f>
        <v/>
      </c>
      <c r="G37" s="2" t="str">
        <f>IF(G20&lt;&gt;"",G20,"")</f>
        <v>Новая локальная смета</v>
      </c>
      <c r="H37" s="2">
        <v>0</v>
      </c>
      <c r="I37" s="2"/>
      <c r="J37" s="2"/>
      <c r="K37" s="2"/>
      <c r="L37" s="2"/>
      <c r="M37" s="2"/>
      <c r="N37" s="2"/>
      <c r="O37" s="2">
        <f t="shared" ref="O37:T37" si="52">ROUND(AB37,2)</f>
        <v>1373108.57</v>
      </c>
      <c r="P37" s="2">
        <f t="shared" si="52"/>
        <v>3729.94</v>
      </c>
      <c r="Q37" s="2">
        <f t="shared" si="52"/>
        <v>731682.63</v>
      </c>
      <c r="R37" s="2">
        <f t="shared" si="52"/>
        <v>329996.52</v>
      </c>
      <c r="S37" s="2">
        <f t="shared" si="52"/>
        <v>637696</v>
      </c>
      <c r="T37" s="2">
        <f t="shared" si="52"/>
        <v>0</v>
      </c>
      <c r="U37" s="2">
        <f>AH37</f>
        <v>1340.9131150000003</v>
      </c>
      <c r="V37" s="2">
        <f>AI37</f>
        <v>0</v>
      </c>
      <c r="W37" s="2">
        <f>ROUND(AJ37,2)</f>
        <v>0</v>
      </c>
      <c r="X37" s="2">
        <f>ROUND(AK37,2)</f>
        <v>446387.20000000001</v>
      </c>
      <c r="Y37" s="2">
        <f>ROUND(AL37,2)</f>
        <v>63769.599999999999</v>
      </c>
      <c r="Z37" s="2"/>
      <c r="AA37" s="2"/>
      <c r="AB37" s="2">
        <f>ROUND(SUMIF(AA24:AA35,"=48805144",O24:O35),2)</f>
        <v>1373108.57</v>
      </c>
      <c r="AC37" s="2">
        <f>ROUND(SUMIF(AA24:AA35,"=48805144",P24:P35),2)</f>
        <v>3729.94</v>
      </c>
      <c r="AD37" s="2">
        <f>ROUND(SUMIF(AA24:AA35,"=48805144",Q24:Q35),2)</f>
        <v>731682.63</v>
      </c>
      <c r="AE37" s="2">
        <f>ROUND(SUMIF(AA24:AA35,"=48805144",R24:R35),2)</f>
        <v>329996.52</v>
      </c>
      <c r="AF37" s="2">
        <f>ROUND(SUMIF(AA24:AA35,"=48805144",S24:S35),2)</f>
        <v>637696</v>
      </c>
      <c r="AG37" s="2">
        <f>ROUND(SUMIF(AA24:AA35,"=48805144",T24:T35),2)</f>
        <v>0</v>
      </c>
      <c r="AH37" s="2">
        <f>SUMIF(AA24:AA35,"=48805144",U24:U35)</f>
        <v>1340.9131150000003</v>
      </c>
      <c r="AI37" s="2">
        <f>SUMIF(AA24:AA35,"=48805144",V24:V35)</f>
        <v>0</v>
      </c>
      <c r="AJ37" s="2">
        <f>ROUND(SUMIF(AA24:AA35,"=48805144",W24:W35),2)</f>
        <v>0</v>
      </c>
      <c r="AK37" s="2">
        <f>ROUND(SUMIF(AA24:AA35,"=48805144",X24:X35),2)</f>
        <v>446387.20000000001</v>
      </c>
      <c r="AL37" s="2">
        <f>ROUND(SUMIF(AA24:AA35,"=48805144",Y24:Y35),2)</f>
        <v>63769.599999999999</v>
      </c>
      <c r="AM37" s="2"/>
      <c r="AN37" s="2"/>
      <c r="AO37" s="2">
        <f t="shared" ref="AO37:BD37" si="53">ROUND(BX37,2)</f>
        <v>0</v>
      </c>
      <c r="AP37" s="2">
        <f t="shared" si="53"/>
        <v>0</v>
      </c>
      <c r="AQ37" s="2">
        <f t="shared" si="53"/>
        <v>0</v>
      </c>
      <c r="AR37" s="2">
        <f t="shared" si="53"/>
        <v>2122941.9700000002</v>
      </c>
      <c r="AS37" s="2">
        <f t="shared" si="53"/>
        <v>0</v>
      </c>
      <c r="AT37" s="2">
        <f t="shared" si="53"/>
        <v>0</v>
      </c>
      <c r="AU37" s="2">
        <f t="shared" si="53"/>
        <v>2122941.9700000002</v>
      </c>
      <c r="AV37" s="2">
        <f t="shared" si="53"/>
        <v>3729.94</v>
      </c>
      <c r="AW37" s="2">
        <f t="shared" si="53"/>
        <v>3729.94</v>
      </c>
      <c r="AX37" s="2">
        <f t="shared" si="53"/>
        <v>0</v>
      </c>
      <c r="AY37" s="2">
        <f t="shared" si="53"/>
        <v>3729.94</v>
      </c>
      <c r="AZ37" s="2">
        <f t="shared" si="53"/>
        <v>0</v>
      </c>
      <c r="BA37" s="2">
        <f t="shared" si="53"/>
        <v>0</v>
      </c>
      <c r="BB37" s="2">
        <f t="shared" si="53"/>
        <v>0</v>
      </c>
      <c r="BC37" s="2">
        <f t="shared" si="53"/>
        <v>0</v>
      </c>
      <c r="BD37" s="2">
        <f t="shared" si="53"/>
        <v>0</v>
      </c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>
        <f>ROUND(SUMIF(AA24:AA35,"=48805144",FQ24:FQ35),2)</f>
        <v>0</v>
      </c>
      <c r="BY37" s="2">
        <f>ROUND(SUMIF(AA24:AA35,"=48805144",FR24:FR35),2)</f>
        <v>0</v>
      </c>
      <c r="BZ37" s="2">
        <f>ROUND(SUMIF(AA24:AA35,"=48805144",GL24:GL35),2)</f>
        <v>0</v>
      </c>
      <c r="CA37" s="2">
        <f>ROUND(SUMIF(AA24:AA35,"=48805144",GM24:GM35),2)</f>
        <v>2122941.9700000002</v>
      </c>
      <c r="CB37" s="2">
        <f>ROUND(SUMIF(AA24:AA35,"=48805144",GN24:GN35),2)</f>
        <v>0</v>
      </c>
      <c r="CC37" s="2">
        <f>ROUND(SUMIF(AA24:AA35,"=48805144",GO24:GO35),2)</f>
        <v>0</v>
      </c>
      <c r="CD37" s="2">
        <f>ROUND(SUMIF(AA24:AA35,"=48805144",GP24:GP35),2)</f>
        <v>2122941.9700000002</v>
      </c>
      <c r="CE37" s="2">
        <f>AC37-BX37</f>
        <v>3729.94</v>
      </c>
      <c r="CF37" s="2">
        <f>AC37-BY37</f>
        <v>3729.94</v>
      </c>
      <c r="CG37" s="2">
        <f>BX37-BZ37</f>
        <v>0</v>
      </c>
      <c r="CH37" s="2">
        <f>AC37-BX37-BY37+BZ37</f>
        <v>3729.94</v>
      </c>
      <c r="CI37" s="2">
        <f>BY37-BZ37</f>
        <v>0</v>
      </c>
      <c r="CJ37" s="2">
        <f>ROUND(SUMIF(AA24:AA35,"=48805144",GX24:GX35),2)</f>
        <v>0</v>
      </c>
      <c r="CK37" s="2">
        <f>ROUND(SUMIF(AA24:AA35,"=48805144",GY24:GY35),2)</f>
        <v>0</v>
      </c>
      <c r="CL37" s="2">
        <f>ROUND(SUMIF(AA24:AA35,"=48805144",GZ24:GZ35),2)</f>
        <v>0</v>
      </c>
      <c r="CM37" s="2">
        <f>ROUND(SUMIF(AA24:AA35,"=48805144",HD24:HD35),2)</f>
        <v>0</v>
      </c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>
        <v>0</v>
      </c>
    </row>
    <row r="39" spans="1:245" x14ac:dyDescent="0.25">
      <c r="A39" s="4">
        <v>50</v>
      </c>
      <c r="B39" s="4">
        <v>0</v>
      </c>
      <c r="C39" s="4">
        <v>0</v>
      </c>
      <c r="D39" s="4">
        <v>1</v>
      </c>
      <c r="E39" s="4">
        <v>201</v>
      </c>
      <c r="F39" s="4">
        <f>ROUND(Source!O37,O39)</f>
        <v>1373108.57</v>
      </c>
      <c r="G39" s="4" t="s">
        <v>70</v>
      </c>
      <c r="H39" s="4" t="s">
        <v>71</v>
      </c>
      <c r="I39" s="4"/>
      <c r="J39" s="4"/>
      <c r="K39" s="4">
        <v>201</v>
      </c>
      <c r="L39" s="4">
        <v>1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>
        <v>1373108.57</v>
      </c>
      <c r="X39" s="4">
        <v>1</v>
      </c>
      <c r="Y39" s="4">
        <v>1373108.57</v>
      </c>
      <c r="Z39" s="4"/>
      <c r="AA39" s="4"/>
      <c r="AB39" s="4"/>
    </row>
    <row r="40" spans="1:245" x14ac:dyDescent="0.25">
      <c r="A40" s="4">
        <v>50</v>
      </c>
      <c r="B40" s="4">
        <v>0</v>
      </c>
      <c r="C40" s="4">
        <v>0</v>
      </c>
      <c r="D40" s="4">
        <v>1</v>
      </c>
      <c r="E40" s="4">
        <v>202</v>
      </c>
      <c r="F40" s="4">
        <f>ROUND(Source!P37,O40)</f>
        <v>3729.94</v>
      </c>
      <c r="G40" s="4" t="s">
        <v>72</v>
      </c>
      <c r="H40" s="4" t="s">
        <v>73</v>
      </c>
      <c r="I40" s="4"/>
      <c r="J40" s="4"/>
      <c r="K40" s="4">
        <v>202</v>
      </c>
      <c r="L40" s="4">
        <v>2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>
        <v>3729.94</v>
      </c>
      <c r="X40" s="4">
        <v>1</v>
      </c>
      <c r="Y40" s="4">
        <v>3729.94</v>
      </c>
      <c r="Z40" s="4"/>
      <c r="AA40" s="4"/>
      <c r="AB40" s="4"/>
    </row>
    <row r="41" spans="1:245" x14ac:dyDescent="0.25">
      <c r="A41" s="4">
        <v>50</v>
      </c>
      <c r="B41" s="4">
        <v>0</v>
      </c>
      <c r="C41" s="4">
        <v>0</v>
      </c>
      <c r="D41" s="4">
        <v>1</v>
      </c>
      <c r="E41" s="4">
        <v>222</v>
      </c>
      <c r="F41" s="4">
        <f>ROUND(Source!AO37,O41)</f>
        <v>0</v>
      </c>
      <c r="G41" s="4" t="s">
        <v>74</v>
      </c>
      <c r="H41" s="4" t="s">
        <v>75</v>
      </c>
      <c r="I41" s="4"/>
      <c r="J41" s="4"/>
      <c r="K41" s="4">
        <v>222</v>
      </c>
      <c r="L41" s="4">
        <v>3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0</v>
      </c>
      <c r="X41" s="4">
        <v>1</v>
      </c>
      <c r="Y41" s="4">
        <v>0</v>
      </c>
      <c r="Z41" s="4"/>
      <c r="AA41" s="4"/>
      <c r="AB41" s="4"/>
    </row>
    <row r="42" spans="1:245" x14ac:dyDescent="0.25">
      <c r="A42" s="4">
        <v>50</v>
      </c>
      <c r="B42" s="4">
        <v>0</v>
      </c>
      <c r="C42" s="4">
        <v>0</v>
      </c>
      <c r="D42" s="4">
        <v>1</v>
      </c>
      <c r="E42" s="4">
        <v>225</v>
      </c>
      <c r="F42" s="4">
        <f>ROUND(Source!AV37,O42)</f>
        <v>3729.94</v>
      </c>
      <c r="G42" s="4" t="s">
        <v>76</v>
      </c>
      <c r="H42" s="4" t="s">
        <v>77</v>
      </c>
      <c r="I42" s="4"/>
      <c r="J42" s="4"/>
      <c r="K42" s="4">
        <v>225</v>
      </c>
      <c r="L42" s="4">
        <v>4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3729.94</v>
      </c>
      <c r="X42" s="4">
        <v>1</v>
      </c>
      <c r="Y42" s="4">
        <v>3729.94</v>
      </c>
      <c r="Z42" s="4"/>
      <c r="AA42" s="4"/>
      <c r="AB42" s="4"/>
    </row>
    <row r="43" spans="1:245" x14ac:dyDescent="0.25">
      <c r="A43" s="4">
        <v>50</v>
      </c>
      <c r="B43" s="4">
        <v>0</v>
      </c>
      <c r="C43" s="4">
        <v>0</v>
      </c>
      <c r="D43" s="4">
        <v>1</v>
      </c>
      <c r="E43" s="4">
        <v>226</v>
      </c>
      <c r="F43" s="4">
        <f>ROUND(Source!AW37,O43)</f>
        <v>3729.94</v>
      </c>
      <c r="G43" s="4" t="s">
        <v>78</v>
      </c>
      <c r="H43" s="4" t="s">
        <v>79</v>
      </c>
      <c r="I43" s="4"/>
      <c r="J43" s="4"/>
      <c r="K43" s="4">
        <v>226</v>
      </c>
      <c r="L43" s="4">
        <v>5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3729.94</v>
      </c>
      <c r="X43" s="4">
        <v>1</v>
      </c>
      <c r="Y43" s="4">
        <v>3729.94</v>
      </c>
      <c r="Z43" s="4"/>
      <c r="AA43" s="4"/>
      <c r="AB43" s="4"/>
    </row>
    <row r="44" spans="1:245" x14ac:dyDescent="0.25">
      <c r="A44" s="4">
        <v>50</v>
      </c>
      <c r="B44" s="4">
        <v>0</v>
      </c>
      <c r="C44" s="4">
        <v>0</v>
      </c>
      <c r="D44" s="4">
        <v>1</v>
      </c>
      <c r="E44" s="4">
        <v>227</v>
      </c>
      <c r="F44" s="4">
        <f>ROUND(Source!AX37,O44)</f>
        <v>0</v>
      </c>
      <c r="G44" s="4" t="s">
        <v>80</v>
      </c>
      <c r="H44" s="4" t="s">
        <v>81</v>
      </c>
      <c r="I44" s="4"/>
      <c r="J44" s="4"/>
      <c r="K44" s="4">
        <v>227</v>
      </c>
      <c r="L44" s="4">
        <v>6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45" x14ac:dyDescent="0.25">
      <c r="A45" s="4">
        <v>50</v>
      </c>
      <c r="B45" s="4">
        <v>0</v>
      </c>
      <c r="C45" s="4">
        <v>0</v>
      </c>
      <c r="D45" s="4">
        <v>1</v>
      </c>
      <c r="E45" s="4">
        <v>228</v>
      </c>
      <c r="F45" s="4">
        <f>ROUND(Source!AY37,O45)</f>
        <v>3729.94</v>
      </c>
      <c r="G45" s="4" t="s">
        <v>82</v>
      </c>
      <c r="H45" s="4" t="s">
        <v>83</v>
      </c>
      <c r="I45" s="4"/>
      <c r="J45" s="4"/>
      <c r="K45" s="4">
        <v>228</v>
      </c>
      <c r="L45" s="4">
        <v>7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3729.94</v>
      </c>
      <c r="X45" s="4">
        <v>1</v>
      </c>
      <c r="Y45" s="4">
        <v>3729.94</v>
      </c>
      <c r="Z45" s="4"/>
      <c r="AA45" s="4"/>
      <c r="AB45" s="4"/>
    </row>
    <row r="46" spans="1:245" x14ac:dyDescent="0.25">
      <c r="A46" s="4">
        <v>50</v>
      </c>
      <c r="B46" s="4">
        <v>0</v>
      </c>
      <c r="C46" s="4">
        <v>0</v>
      </c>
      <c r="D46" s="4">
        <v>1</v>
      </c>
      <c r="E46" s="4">
        <v>216</v>
      </c>
      <c r="F46" s="4">
        <f>ROUND(Source!AP37,O46)</f>
        <v>0</v>
      </c>
      <c r="G46" s="4" t="s">
        <v>84</v>
      </c>
      <c r="H46" s="4" t="s">
        <v>85</v>
      </c>
      <c r="I46" s="4"/>
      <c r="J46" s="4"/>
      <c r="K46" s="4">
        <v>216</v>
      </c>
      <c r="L46" s="4">
        <v>8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45" x14ac:dyDescent="0.25">
      <c r="A47" s="4">
        <v>50</v>
      </c>
      <c r="B47" s="4">
        <v>0</v>
      </c>
      <c r="C47" s="4">
        <v>0</v>
      </c>
      <c r="D47" s="4">
        <v>1</v>
      </c>
      <c r="E47" s="4">
        <v>223</v>
      </c>
      <c r="F47" s="4">
        <f>ROUND(Source!AQ37,O47)</f>
        <v>0</v>
      </c>
      <c r="G47" s="4" t="s">
        <v>86</v>
      </c>
      <c r="H47" s="4" t="s">
        <v>87</v>
      </c>
      <c r="I47" s="4"/>
      <c r="J47" s="4"/>
      <c r="K47" s="4">
        <v>223</v>
      </c>
      <c r="L47" s="4">
        <v>9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45" x14ac:dyDescent="0.25">
      <c r="A48" s="4">
        <v>50</v>
      </c>
      <c r="B48" s="4">
        <v>0</v>
      </c>
      <c r="C48" s="4">
        <v>0</v>
      </c>
      <c r="D48" s="4">
        <v>1</v>
      </c>
      <c r="E48" s="4">
        <v>229</v>
      </c>
      <c r="F48" s="4">
        <f>ROUND(Source!AZ37,O48)</f>
        <v>0</v>
      </c>
      <c r="G48" s="4" t="s">
        <v>88</v>
      </c>
      <c r="H48" s="4" t="s">
        <v>89</v>
      </c>
      <c r="I48" s="4"/>
      <c r="J48" s="4"/>
      <c r="K48" s="4">
        <v>229</v>
      </c>
      <c r="L48" s="4">
        <v>10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8" x14ac:dyDescent="0.25">
      <c r="A49" s="4">
        <v>50</v>
      </c>
      <c r="B49" s="4">
        <v>0</v>
      </c>
      <c r="C49" s="4">
        <v>0</v>
      </c>
      <c r="D49" s="4">
        <v>1</v>
      </c>
      <c r="E49" s="4">
        <v>203</v>
      </c>
      <c r="F49" s="4">
        <f>ROUND(Source!Q37,O49)</f>
        <v>731682.63</v>
      </c>
      <c r="G49" s="4" t="s">
        <v>90</v>
      </c>
      <c r="H49" s="4" t="s">
        <v>91</v>
      </c>
      <c r="I49" s="4"/>
      <c r="J49" s="4"/>
      <c r="K49" s="4">
        <v>203</v>
      </c>
      <c r="L49" s="4">
        <v>11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731682.63</v>
      </c>
      <c r="X49" s="4">
        <v>1</v>
      </c>
      <c r="Y49" s="4">
        <v>731682.63</v>
      </c>
      <c r="Z49" s="4"/>
      <c r="AA49" s="4"/>
      <c r="AB49" s="4"/>
    </row>
    <row r="50" spans="1:28" x14ac:dyDescent="0.25">
      <c r="A50" s="4">
        <v>50</v>
      </c>
      <c r="B50" s="4">
        <v>0</v>
      </c>
      <c r="C50" s="4">
        <v>0</v>
      </c>
      <c r="D50" s="4">
        <v>1</v>
      </c>
      <c r="E50" s="4">
        <v>231</v>
      </c>
      <c r="F50" s="4">
        <f>ROUND(Source!BB37,O50)</f>
        <v>0</v>
      </c>
      <c r="G50" s="4" t="s">
        <v>92</v>
      </c>
      <c r="H50" s="4" t="s">
        <v>93</v>
      </c>
      <c r="I50" s="4"/>
      <c r="J50" s="4"/>
      <c r="K50" s="4">
        <v>231</v>
      </c>
      <c r="L50" s="4">
        <v>12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8" x14ac:dyDescent="0.25">
      <c r="A51" s="4">
        <v>50</v>
      </c>
      <c r="B51" s="4">
        <v>0</v>
      </c>
      <c r="C51" s="4">
        <v>0</v>
      </c>
      <c r="D51" s="4">
        <v>1</v>
      </c>
      <c r="E51" s="4">
        <v>204</v>
      </c>
      <c r="F51" s="4">
        <f>ROUND(Source!R37,O51)</f>
        <v>329996.52</v>
      </c>
      <c r="G51" s="4" t="s">
        <v>94</v>
      </c>
      <c r="H51" s="4" t="s">
        <v>95</v>
      </c>
      <c r="I51" s="4"/>
      <c r="J51" s="4"/>
      <c r="K51" s="4">
        <v>204</v>
      </c>
      <c r="L51" s="4">
        <v>13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329996.52</v>
      </c>
      <c r="X51" s="4">
        <v>1</v>
      </c>
      <c r="Y51" s="4">
        <v>329996.52</v>
      </c>
      <c r="Z51" s="4"/>
      <c r="AA51" s="4"/>
      <c r="AB51" s="4"/>
    </row>
    <row r="52" spans="1:28" x14ac:dyDescent="0.25">
      <c r="A52" s="4">
        <v>50</v>
      </c>
      <c r="B52" s="4">
        <v>0</v>
      </c>
      <c r="C52" s="4">
        <v>0</v>
      </c>
      <c r="D52" s="4">
        <v>1</v>
      </c>
      <c r="E52" s="4">
        <v>205</v>
      </c>
      <c r="F52" s="4">
        <f>ROUND(Source!S37,O52)</f>
        <v>637696</v>
      </c>
      <c r="G52" s="4" t="s">
        <v>96</v>
      </c>
      <c r="H52" s="4" t="s">
        <v>97</v>
      </c>
      <c r="I52" s="4"/>
      <c r="J52" s="4"/>
      <c r="K52" s="4">
        <v>205</v>
      </c>
      <c r="L52" s="4">
        <v>14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637696</v>
      </c>
      <c r="X52" s="4">
        <v>1</v>
      </c>
      <c r="Y52" s="4">
        <v>637696</v>
      </c>
      <c r="Z52" s="4"/>
      <c r="AA52" s="4"/>
      <c r="AB52" s="4"/>
    </row>
    <row r="53" spans="1:28" x14ac:dyDescent="0.25">
      <c r="A53" s="4">
        <v>50</v>
      </c>
      <c r="B53" s="4">
        <v>0</v>
      </c>
      <c r="C53" s="4">
        <v>0</v>
      </c>
      <c r="D53" s="4">
        <v>1</v>
      </c>
      <c r="E53" s="4">
        <v>232</v>
      </c>
      <c r="F53" s="4">
        <f>ROUND(Source!BC37,O53)</f>
        <v>0</v>
      </c>
      <c r="G53" s="4" t="s">
        <v>98</v>
      </c>
      <c r="H53" s="4" t="s">
        <v>99</v>
      </c>
      <c r="I53" s="4"/>
      <c r="J53" s="4"/>
      <c r="K53" s="4">
        <v>232</v>
      </c>
      <c r="L53" s="4">
        <v>15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x14ac:dyDescent="0.25">
      <c r="A54" s="4">
        <v>50</v>
      </c>
      <c r="B54" s="4">
        <v>0</v>
      </c>
      <c r="C54" s="4">
        <v>0</v>
      </c>
      <c r="D54" s="4">
        <v>1</v>
      </c>
      <c r="E54" s="4">
        <v>214</v>
      </c>
      <c r="F54" s="4">
        <f>ROUND(Source!AS37,O54)</f>
        <v>0</v>
      </c>
      <c r="G54" s="4" t="s">
        <v>100</v>
      </c>
      <c r="H54" s="4" t="s">
        <v>101</v>
      </c>
      <c r="I54" s="4"/>
      <c r="J54" s="4"/>
      <c r="K54" s="4">
        <v>214</v>
      </c>
      <c r="L54" s="4">
        <v>16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x14ac:dyDescent="0.25">
      <c r="A55" s="4">
        <v>50</v>
      </c>
      <c r="B55" s="4">
        <v>0</v>
      </c>
      <c r="C55" s="4">
        <v>0</v>
      </c>
      <c r="D55" s="4">
        <v>1</v>
      </c>
      <c r="E55" s="4">
        <v>215</v>
      </c>
      <c r="F55" s="4">
        <f>ROUND(Source!AT37,O55)</f>
        <v>0</v>
      </c>
      <c r="G55" s="4" t="s">
        <v>102</v>
      </c>
      <c r="H55" s="4" t="s">
        <v>103</v>
      </c>
      <c r="I55" s="4"/>
      <c r="J55" s="4"/>
      <c r="K55" s="4">
        <v>215</v>
      </c>
      <c r="L55" s="4">
        <v>17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 x14ac:dyDescent="0.25">
      <c r="A56" s="4">
        <v>50</v>
      </c>
      <c r="B56" s="4">
        <v>0</v>
      </c>
      <c r="C56" s="4">
        <v>0</v>
      </c>
      <c r="D56" s="4">
        <v>1</v>
      </c>
      <c r="E56" s="4">
        <v>217</v>
      </c>
      <c r="F56" s="4">
        <f>ROUND(Source!AU37,O56)</f>
        <v>2122941.9700000002</v>
      </c>
      <c r="G56" s="4" t="s">
        <v>104</v>
      </c>
      <c r="H56" s="4" t="s">
        <v>105</v>
      </c>
      <c r="I56" s="4"/>
      <c r="J56" s="4"/>
      <c r="K56" s="4">
        <v>217</v>
      </c>
      <c r="L56" s="4">
        <v>18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2122941.9700000002</v>
      </c>
      <c r="X56" s="4">
        <v>1</v>
      </c>
      <c r="Y56" s="4">
        <v>2122941.9700000002</v>
      </c>
      <c r="Z56" s="4"/>
      <c r="AA56" s="4"/>
      <c r="AB56" s="4"/>
    </row>
    <row r="57" spans="1:28" x14ac:dyDescent="0.25">
      <c r="A57" s="4">
        <v>50</v>
      </c>
      <c r="B57" s="4">
        <v>0</v>
      </c>
      <c r="C57" s="4">
        <v>0</v>
      </c>
      <c r="D57" s="4">
        <v>1</v>
      </c>
      <c r="E57" s="4">
        <v>230</v>
      </c>
      <c r="F57" s="4">
        <f>ROUND(Source!BA37,O57)</f>
        <v>0</v>
      </c>
      <c r="G57" s="4" t="s">
        <v>106</v>
      </c>
      <c r="H57" s="4" t="s">
        <v>107</v>
      </c>
      <c r="I57" s="4"/>
      <c r="J57" s="4"/>
      <c r="K57" s="4">
        <v>230</v>
      </c>
      <c r="L57" s="4">
        <v>19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28" x14ac:dyDescent="0.25">
      <c r="A58" s="4">
        <v>50</v>
      </c>
      <c r="B58" s="4">
        <v>0</v>
      </c>
      <c r="C58" s="4">
        <v>0</v>
      </c>
      <c r="D58" s="4">
        <v>1</v>
      </c>
      <c r="E58" s="4">
        <v>206</v>
      </c>
      <c r="F58" s="4">
        <f>ROUND(Source!T37,O58)</f>
        <v>0</v>
      </c>
      <c r="G58" s="4" t="s">
        <v>108</v>
      </c>
      <c r="H58" s="4" t="s">
        <v>109</v>
      </c>
      <c r="I58" s="4"/>
      <c r="J58" s="4"/>
      <c r="K58" s="4">
        <v>206</v>
      </c>
      <c r="L58" s="4">
        <v>20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0</v>
      </c>
      <c r="X58" s="4">
        <v>1</v>
      </c>
      <c r="Y58" s="4">
        <v>0</v>
      </c>
      <c r="Z58" s="4"/>
      <c r="AA58" s="4"/>
      <c r="AB58" s="4"/>
    </row>
    <row r="59" spans="1:28" x14ac:dyDescent="0.25">
      <c r="A59" s="4">
        <v>50</v>
      </c>
      <c r="B59" s="4">
        <v>0</v>
      </c>
      <c r="C59" s="4">
        <v>0</v>
      </c>
      <c r="D59" s="4">
        <v>1</v>
      </c>
      <c r="E59" s="4">
        <v>207</v>
      </c>
      <c r="F59" s="4">
        <f>Source!U37</f>
        <v>1340.9131150000003</v>
      </c>
      <c r="G59" s="4" t="s">
        <v>110</v>
      </c>
      <c r="H59" s="4" t="s">
        <v>111</v>
      </c>
      <c r="I59" s="4"/>
      <c r="J59" s="4"/>
      <c r="K59" s="4">
        <v>207</v>
      </c>
      <c r="L59" s="4">
        <v>21</v>
      </c>
      <c r="M59" s="4">
        <v>3</v>
      </c>
      <c r="N59" s="4" t="s">
        <v>3</v>
      </c>
      <c r="O59" s="4">
        <v>-1</v>
      </c>
      <c r="P59" s="4"/>
      <c r="Q59" s="4"/>
      <c r="R59" s="4"/>
      <c r="S59" s="4"/>
      <c r="T59" s="4"/>
      <c r="U59" s="4"/>
      <c r="V59" s="4"/>
      <c r="W59" s="4">
        <v>1340.9131150000001</v>
      </c>
      <c r="X59" s="4">
        <v>1</v>
      </c>
      <c r="Y59" s="4">
        <v>1340.9131150000001</v>
      </c>
      <c r="Z59" s="4"/>
      <c r="AA59" s="4"/>
      <c r="AB59" s="4"/>
    </row>
    <row r="60" spans="1:28" x14ac:dyDescent="0.25">
      <c r="A60" s="4">
        <v>50</v>
      </c>
      <c r="B60" s="4">
        <v>0</v>
      </c>
      <c r="C60" s="4">
        <v>0</v>
      </c>
      <c r="D60" s="4">
        <v>1</v>
      </c>
      <c r="E60" s="4">
        <v>208</v>
      </c>
      <c r="F60" s="4">
        <f>Source!V37</f>
        <v>0</v>
      </c>
      <c r="G60" s="4" t="s">
        <v>112</v>
      </c>
      <c r="H60" s="4" t="s">
        <v>113</v>
      </c>
      <c r="I60" s="4"/>
      <c r="J60" s="4"/>
      <c r="K60" s="4">
        <v>208</v>
      </c>
      <c r="L60" s="4">
        <v>22</v>
      </c>
      <c r="M60" s="4">
        <v>3</v>
      </c>
      <c r="N60" s="4" t="s">
        <v>3</v>
      </c>
      <c r="O60" s="4">
        <v>-1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 x14ac:dyDescent="0.25">
      <c r="A61" s="4">
        <v>50</v>
      </c>
      <c r="B61" s="4">
        <v>0</v>
      </c>
      <c r="C61" s="4">
        <v>0</v>
      </c>
      <c r="D61" s="4">
        <v>1</v>
      </c>
      <c r="E61" s="4">
        <v>209</v>
      </c>
      <c r="F61" s="4">
        <f>ROUND(Source!W37,O61)</f>
        <v>0</v>
      </c>
      <c r="G61" s="4" t="s">
        <v>114</v>
      </c>
      <c r="H61" s="4" t="s">
        <v>115</v>
      </c>
      <c r="I61" s="4"/>
      <c r="J61" s="4"/>
      <c r="K61" s="4">
        <v>209</v>
      </c>
      <c r="L61" s="4">
        <v>23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0</v>
      </c>
      <c r="X61" s="4">
        <v>1</v>
      </c>
      <c r="Y61" s="4">
        <v>0</v>
      </c>
      <c r="Z61" s="4"/>
      <c r="AA61" s="4"/>
      <c r="AB61" s="4"/>
    </row>
    <row r="62" spans="1:28" x14ac:dyDescent="0.25">
      <c r="A62" s="4">
        <v>50</v>
      </c>
      <c r="B62" s="4">
        <v>0</v>
      </c>
      <c r="C62" s="4">
        <v>0</v>
      </c>
      <c r="D62" s="4">
        <v>1</v>
      </c>
      <c r="E62" s="4">
        <v>233</v>
      </c>
      <c r="F62" s="4">
        <f>ROUND(Source!BD37,O62)</f>
        <v>0</v>
      </c>
      <c r="G62" s="4" t="s">
        <v>116</v>
      </c>
      <c r="H62" s="4" t="s">
        <v>117</v>
      </c>
      <c r="I62" s="4"/>
      <c r="J62" s="4"/>
      <c r="K62" s="4">
        <v>233</v>
      </c>
      <c r="L62" s="4">
        <v>24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0</v>
      </c>
      <c r="X62" s="4">
        <v>1</v>
      </c>
      <c r="Y62" s="4">
        <v>0</v>
      </c>
      <c r="Z62" s="4"/>
      <c r="AA62" s="4"/>
      <c r="AB62" s="4"/>
    </row>
    <row r="63" spans="1:28" x14ac:dyDescent="0.25">
      <c r="A63" s="4">
        <v>50</v>
      </c>
      <c r="B63" s="4">
        <v>0</v>
      </c>
      <c r="C63" s="4">
        <v>0</v>
      </c>
      <c r="D63" s="4">
        <v>1</v>
      </c>
      <c r="E63" s="4">
        <v>210</v>
      </c>
      <c r="F63" s="4">
        <f>ROUND(Source!X37,O63)</f>
        <v>446387.20000000001</v>
      </c>
      <c r="G63" s="4" t="s">
        <v>118</v>
      </c>
      <c r="H63" s="4" t="s">
        <v>119</v>
      </c>
      <c r="I63" s="4"/>
      <c r="J63" s="4"/>
      <c r="K63" s="4">
        <v>210</v>
      </c>
      <c r="L63" s="4">
        <v>25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446387.20000000001</v>
      </c>
      <c r="X63" s="4">
        <v>1</v>
      </c>
      <c r="Y63" s="4">
        <v>446387.20000000001</v>
      </c>
      <c r="Z63" s="4"/>
      <c r="AA63" s="4"/>
      <c r="AB63" s="4"/>
    </row>
    <row r="64" spans="1:28" x14ac:dyDescent="0.25">
      <c r="A64" s="4">
        <v>50</v>
      </c>
      <c r="B64" s="4">
        <v>0</v>
      </c>
      <c r="C64" s="4">
        <v>0</v>
      </c>
      <c r="D64" s="4">
        <v>1</v>
      </c>
      <c r="E64" s="4">
        <v>211</v>
      </c>
      <c r="F64" s="4">
        <f>ROUND(Source!Y37,O64)</f>
        <v>63769.599999999999</v>
      </c>
      <c r="G64" s="4" t="s">
        <v>120</v>
      </c>
      <c r="H64" s="4" t="s">
        <v>121</v>
      </c>
      <c r="I64" s="4"/>
      <c r="J64" s="4"/>
      <c r="K64" s="4">
        <v>211</v>
      </c>
      <c r="L64" s="4">
        <v>26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63769.599999999999</v>
      </c>
      <c r="X64" s="4">
        <v>1</v>
      </c>
      <c r="Y64" s="4">
        <v>63769.599999999999</v>
      </c>
      <c r="Z64" s="4"/>
      <c r="AA64" s="4"/>
      <c r="AB64" s="4"/>
    </row>
    <row r="65" spans="1:206" x14ac:dyDescent="0.25">
      <c r="A65" s="4">
        <v>50</v>
      </c>
      <c r="B65" s="4">
        <v>0</v>
      </c>
      <c r="C65" s="4">
        <v>0</v>
      </c>
      <c r="D65" s="4">
        <v>1</v>
      </c>
      <c r="E65" s="4">
        <v>0</v>
      </c>
      <c r="F65" s="4">
        <f>ROUND(Source!AR37,O65)</f>
        <v>2122941.9700000002</v>
      </c>
      <c r="G65" s="4" t="s">
        <v>122</v>
      </c>
      <c r="H65" s="4" t="s">
        <v>123</v>
      </c>
      <c r="I65" s="4"/>
      <c r="J65" s="4"/>
      <c r="K65" s="4">
        <v>224</v>
      </c>
      <c r="L65" s="4">
        <v>27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2122941.9700000002</v>
      </c>
      <c r="X65" s="4">
        <v>1</v>
      </c>
      <c r="Y65" s="4">
        <v>2122941.9700000002</v>
      </c>
      <c r="Z65" s="4"/>
      <c r="AA65" s="4"/>
      <c r="AB65" s="4"/>
    </row>
    <row r="66" spans="1:206" x14ac:dyDescent="0.25">
      <c r="A66" s="4">
        <v>50</v>
      </c>
      <c r="B66" s="4">
        <v>1</v>
      </c>
      <c r="C66" s="4">
        <v>0</v>
      </c>
      <c r="D66" s="4">
        <v>2</v>
      </c>
      <c r="E66" s="4">
        <v>0</v>
      </c>
      <c r="F66" s="4">
        <f>ROUND(F65*0.2,O66)</f>
        <v>424588.39</v>
      </c>
      <c r="G66" s="4" t="s">
        <v>124</v>
      </c>
      <c r="H66" s="4" t="s">
        <v>125</v>
      </c>
      <c r="I66" s="4"/>
      <c r="J66" s="4"/>
      <c r="K66" s="4">
        <v>212</v>
      </c>
      <c r="L66" s="4">
        <v>28</v>
      </c>
      <c r="M66" s="4">
        <v>0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>
        <v>424588.39</v>
      </c>
      <c r="X66" s="4">
        <v>1</v>
      </c>
      <c r="Y66" s="4">
        <v>424588.39</v>
      </c>
      <c r="Z66" s="4"/>
      <c r="AA66" s="4"/>
      <c r="AB66" s="4"/>
    </row>
    <row r="67" spans="1:206" x14ac:dyDescent="0.25">
      <c r="A67" s="4">
        <v>50</v>
      </c>
      <c r="B67" s="4">
        <v>1</v>
      </c>
      <c r="C67" s="4">
        <v>0</v>
      </c>
      <c r="D67" s="4">
        <v>2</v>
      </c>
      <c r="E67" s="4">
        <v>224</v>
      </c>
      <c r="F67" s="4">
        <f>ROUND(F65+F66,O67)</f>
        <v>2547530.36</v>
      </c>
      <c r="G67" s="4" t="s">
        <v>126</v>
      </c>
      <c r="H67" s="4" t="s">
        <v>127</v>
      </c>
      <c r="I67" s="4"/>
      <c r="J67" s="4"/>
      <c r="K67" s="4">
        <v>212</v>
      </c>
      <c r="L67" s="4">
        <v>29</v>
      </c>
      <c r="M67" s="4">
        <v>0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2547530.36</v>
      </c>
      <c r="X67" s="4">
        <v>1</v>
      </c>
      <c r="Y67" s="4">
        <v>2547530.36</v>
      </c>
      <c r="Z67" s="4"/>
      <c r="AA67" s="4"/>
      <c r="AB67" s="4"/>
    </row>
    <row r="69" spans="1:206" x14ac:dyDescent="0.25">
      <c r="A69" s="2">
        <v>51</v>
      </c>
      <c r="B69" s="2">
        <f>B12</f>
        <v>104</v>
      </c>
      <c r="C69" s="2">
        <f>A12</f>
        <v>1</v>
      </c>
      <c r="D69" s="2">
        <f>ROW(A12)</f>
        <v>12</v>
      </c>
      <c r="E69" s="2"/>
      <c r="F69" s="2" t="str">
        <f>IF(F12&lt;&gt;"",F12,"")</f>
        <v>Новый объект_(Копия)</v>
      </c>
      <c r="G69" s="2" t="str">
        <f>IF(G12&lt;&gt;"",G12,"")</f>
        <v>Красная Пахра_(Копия)</v>
      </c>
      <c r="H69" s="2">
        <v>0</v>
      </c>
      <c r="I69" s="2"/>
      <c r="J69" s="2"/>
      <c r="K69" s="2"/>
      <c r="L69" s="2"/>
      <c r="M69" s="2"/>
      <c r="N69" s="2"/>
      <c r="O69" s="2">
        <f t="shared" ref="O69:T69" si="54">ROUND(O37,2)</f>
        <v>1373108.57</v>
      </c>
      <c r="P69" s="2">
        <f t="shared" si="54"/>
        <v>3729.94</v>
      </c>
      <c r="Q69" s="2">
        <f t="shared" si="54"/>
        <v>731682.63</v>
      </c>
      <c r="R69" s="2">
        <f t="shared" si="54"/>
        <v>329996.52</v>
      </c>
      <c r="S69" s="2">
        <f t="shared" si="54"/>
        <v>637696</v>
      </c>
      <c r="T69" s="2">
        <f t="shared" si="54"/>
        <v>0</v>
      </c>
      <c r="U69" s="2">
        <f>U37</f>
        <v>1340.9131150000003</v>
      </c>
      <c r="V69" s="2">
        <f>V37</f>
        <v>0</v>
      </c>
      <c r="W69" s="2">
        <f>ROUND(W37,2)</f>
        <v>0</v>
      </c>
      <c r="X69" s="2">
        <f>ROUND(X37,2)</f>
        <v>446387.20000000001</v>
      </c>
      <c r="Y69" s="2">
        <f>ROUND(Y37,2)</f>
        <v>63769.599999999999</v>
      </c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>
        <f t="shared" ref="AO69:BD69" si="55">ROUND(AO37,2)</f>
        <v>0</v>
      </c>
      <c r="AP69" s="2">
        <f t="shared" si="55"/>
        <v>0</v>
      </c>
      <c r="AQ69" s="2">
        <f t="shared" si="55"/>
        <v>0</v>
      </c>
      <c r="AR69" s="2">
        <f t="shared" si="55"/>
        <v>2122941.9700000002</v>
      </c>
      <c r="AS69" s="2">
        <f t="shared" si="55"/>
        <v>0</v>
      </c>
      <c r="AT69" s="2">
        <f t="shared" si="55"/>
        <v>0</v>
      </c>
      <c r="AU69" s="2">
        <f t="shared" si="55"/>
        <v>2122941.9700000002</v>
      </c>
      <c r="AV69" s="2">
        <f t="shared" si="55"/>
        <v>3729.94</v>
      </c>
      <c r="AW69" s="2">
        <f t="shared" si="55"/>
        <v>3729.94</v>
      </c>
      <c r="AX69" s="2">
        <f t="shared" si="55"/>
        <v>0</v>
      </c>
      <c r="AY69" s="2">
        <f t="shared" si="55"/>
        <v>3729.94</v>
      </c>
      <c r="AZ69" s="2">
        <f t="shared" si="55"/>
        <v>0</v>
      </c>
      <c r="BA69" s="2">
        <f t="shared" si="55"/>
        <v>0</v>
      </c>
      <c r="BB69" s="2">
        <f t="shared" si="55"/>
        <v>0</v>
      </c>
      <c r="BC69" s="2">
        <f t="shared" si="55"/>
        <v>0</v>
      </c>
      <c r="BD69" s="2">
        <f t="shared" si="55"/>
        <v>0</v>
      </c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>
        <v>0</v>
      </c>
    </row>
    <row r="71" spans="1:206" x14ac:dyDescent="0.25">
      <c r="A71" s="4">
        <v>50</v>
      </c>
      <c r="B71" s="4">
        <v>0</v>
      </c>
      <c r="C71" s="4">
        <v>0</v>
      </c>
      <c r="D71" s="4">
        <v>1</v>
      </c>
      <c r="E71" s="4">
        <v>201</v>
      </c>
      <c r="F71" s="4">
        <f>ROUND(Source!O69,O71)</f>
        <v>1373108.57</v>
      </c>
      <c r="G71" s="4" t="s">
        <v>70</v>
      </c>
      <c r="H71" s="4" t="s">
        <v>71</v>
      </c>
      <c r="I71" s="4"/>
      <c r="J71" s="4"/>
      <c r="K71" s="4">
        <v>201</v>
      </c>
      <c r="L71" s="4">
        <v>1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1373108.57</v>
      </c>
      <c r="X71" s="4">
        <v>1</v>
      </c>
      <c r="Y71" s="4">
        <v>1373108.57</v>
      </c>
      <c r="Z71" s="4"/>
      <c r="AA71" s="4"/>
      <c r="AB71" s="4"/>
    </row>
    <row r="72" spans="1:206" x14ac:dyDescent="0.25">
      <c r="A72" s="4">
        <v>50</v>
      </c>
      <c r="B72" s="4">
        <v>0</v>
      </c>
      <c r="C72" s="4">
        <v>0</v>
      </c>
      <c r="D72" s="4">
        <v>1</v>
      </c>
      <c r="E72" s="4">
        <v>202</v>
      </c>
      <c r="F72" s="4">
        <f>ROUND(Source!P69,O72)</f>
        <v>3729.94</v>
      </c>
      <c r="G72" s="4" t="s">
        <v>72</v>
      </c>
      <c r="H72" s="4" t="s">
        <v>73</v>
      </c>
      <c r="I72" s="4"/>
      <c r="J72" s="4"/>
      <c r="K72" s="4">
        <v>202</v>
      </c>
      <c r="L72" s="4">
        <v>2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3729.94</v>
      </c>
      <c r="X72" s="4">
        <v>1</v>
      </c>
      <c r="Y72" s="4">
        <v>3729.94</v>
      </c>
      <c r="Z72" s="4"/>
      <c r="AA72" s="4"/>
      <c r="AB72" s="4"/>
    </row>
    <row r="73" spans="1:206" x14ac:dyDescent="0.25">
      <c r="A73" s="4">
        <v>50</v>
      </c>
      <c r="B73" s="4">
        <v>0</v>
      </c>
      <c r="C73" s="4">
        <v>0</v>
      </c>
      <c r="D73" s="4">
        <v>1</v>
      </c>
      <c r="E73" s="4">
        <v>222</v>
      </c>
      <c r="F73" s="4">
        <f>ROUND(Source!AO69,O73)</f>
        <v>0</v>
      </c>
      <c r="G73" s="4" t="s">
        <v>74</v>
      </c>
      <c r="H73" s="4" t="s">
        <v>75</v>
      </c>
      <c r="I73" s="4"/>
      <c r="J73" s="4"/>
      <c r="K73" s="4">
        <v>222</v>
      </c>
      <c r="L73" s="4">
        <v>3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0</v>
      </c>
      <c r="X73" s="4">
        <v>1</v>
      </c>
      <c r="Y73" s="4">
        <v>0</v>
      </c>
      <c r="Z73" s="4"/>
      <c r="AA73" s="4"/>
      <c r="AB73" s="4"/>
    </row>
    <row r="74" spans="1:206" x14ac:dyDescent="0.25">
      <c r="A74" s="4">
        <v>50</v>
      </c>
      <c r="B74" s="4">
        <v>0</v>
      </c>
      <c r="C74" s="4">
        <v>0</v>
      </c>
      <c r="D74" s="4">
        <v>1</v>
      </c>
      <c r="E74" s="4">
        <v>225</v>
      </c>
      <c r="F74" s="4">
        <f>ROUND(Source!AV69,O74)</f>
        <v>3729.94</v>
      </c>
      <c r="G74" s="4" t="s">
        <v>76</v>
      </c>
      <c r="H74" s="4" t="s">
        <v>77</v>
      </c>
      <c r="I74" s="4"/>
      <c r="J74" s="4"/>
      <c r="K74" s="4">
        <v>225</v>
      </c>
      <c r="L74" s="4">
        <v>4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3729.94</v>
      </c>
      <c r="X74" s="4">
        <v>1</v>
      </c>
      <c r="Y74" s="4">
        <v>3729.94</v>
      </c>
      <c r="Z74" s="4"/>
      <c r="AA74" s="4"/>
      <c r="AB74" s="4"/>
    </row>
    <row r="75" spans="1:206" x14ac:dyDescent="0.25">
      <c r="A75" s="4">
        <v>50</v>
      </c>
      <c r="B75" s="4">
        <v>0</v>
      </c>
      <c r="C75" s="4">
        <v>0</v>
      </c>
      <c r="D75" s="4">
        <v>1</v>
      </c>
      <c r="E75" s="4">
        <v>226</v>
      </c>
      <c r="F75" s="4">
        <f>ROUND(Source!AW69,O75)</f>
        <v>3729.94</v>
      </c>
      <c r="G75" s="4" t="s">
        <v>78</v>
      </c>
      <c r="H75" s="4" t="s">
        <v>79</v>
      </c>
      <c r="I75" s="4"/>
      <c r="J75" s="4"/>
      <c r="K75" s="4">
        <v>226</v>
      </c>
      <c r="L75" s="4">
        <v>5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3729.94</v>
      </c>
      <c r="X75" s="4">
        <v>1</v>
      </c>
      <c r="Y75" s="4">
        <v>3729.94</v>
      </c>
      <c r="Z75" s="4"/>
      <c r="AA75" s="4"/>
      <c r="AB75" s="4"/>
    </row>
    <row r="76" spans="1:206" x14ac:dyDescent="0.25">
      <c r="A76" s="4">
        <v>50</v>
      </c>
      <c r="B76" s="4">
        <v>0</v>
      </c>
      <c r="C76" s="4">
        <v>0</v>
      </c>
      <c r="D76" s="4">
        <v>1</v>
      </c>
      <c r="E76" s="4">
        <v>227</v>
      </c>
      <c r="F76" s="4">
        <f>ROUND(Source!AX69,O76)</f>
        <v>0</v>
      </c>
      <c r="G76" s="4" t="s">
        <v>80</v>
      </c>
      <c r="H76" s="4" t="s">
        <v>81</v>
      </c>
      <c r="I76" s="4"/>
      <c r="J76" s="4"/>
      <c r="K76" s="4">
        <v>227</v>
      </c>
      <c r="L76" s="4">
        <v>6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0</v>
      </c>
      <c r="X76" s="4">
        <v>1</v>
      </c>
      <c r="Y76" s="4">
        <v>0</v>
      </c>
      <c r="Z76" s="4"/>
      <c r="AA76" s="4"/>
      <c r="AB76" s="4"/>
    </row>
    <row r="77" spans="1:206" x14ac:dyDescent="0.25">
      <c r="A77" s="4">
        <v>50</v>
      </c>
      <c r="B77" s="4">
        <v>0</v>
      </c>
      <c r="C77" s="4">
        <v>0</v>
      </c>
      <c r="D77" s="4">
        <v>1</v>
      </c>
      <c r="E77" s="4">
        <v>228</v>
      </c>
      <c r="F77" s="4">
        <f>ROUND(Source!AY69,O77)</f>
        <v>3729.94</v>
      </c>
      <c r="G77" s="4" t="s">
        <v>82</v>
      </c>
      <c r="H77" s="4" t="s">
        <v>83</v>
      </c>
      <c r="I77" s="4"/>
      <c r="J77" s="4"/>
      <c r="K77" s="4">
        <v>228</v>
      </c>
      <c r="L77" s="4">
        <v>7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3729.94</v>
      </c>
      <c r="X77" s="4">
        <v>1</v>
      </c>
      <c r="Y77" s="4">
        <v>3729.94</v>
      </c>
      <c r="Z77" s="4"/>
      <c r="AA77" s="4"/>
      <c r="AB77" s="4"/>
    </row>
    <row r="78" spans="1:206" x14ac:dyDescent="0.25">
      <c r="A78" s="4">
        <v>50</v>
      </c>
      <c r="B78" s="4">
        <v>0</v>
      </c>
      <c r="C78" s="4">
        <v>0</v>
      </c>
      <c r="D78" s="4">
        <v>1</v>
      </c>
      <c r="E78" s="4">
        <v>216</v>
      </c>
      <c r="F78" s="4">
        <f>ROUND(Source!AP69,O78)</f>
        <v>0</v>
      </c>
      <c r="G78" s="4" t="s">
        <v>84</v>
      </c>
      <c r="H78" s="4" t="s">
        <v>85</v>
      </c>
      <c r="I78" s="4"/>
      <c r="J78" s="4"/>
      <c r="K78" s="4">
        <v>216</v>
      </c>
      <c r="L78" s="4">
        <v>8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0</v>
      </c>
      <c r="X78" s="4">
        <v>1</v>
      </c>
      <c r="Y78" s="4">
        <v>0</v>
      </c>
      <c r="Z78" s="4"/>
      <c r="AA78" s="4"/>
      <c r="AB78" s="4"/>
    </row>
    <row r="79" spans="1:206" x14ac:dyDescent="0.25">
      <c r="A79" s="4">
        <v>50</v>
      </c>
      <c r="B79" s="4">
        <v>0</v>
      </c>
      <c r="C79" s="4">
        <v>0</v>
      </c>
      <c r="D79" s="4">
        <v>1</v>
      </c>
      <c r="E79" s="4">
        <v>223</v>
      </c>
      <c r="F79" s="4">
        <f>ROUND(Source!AQ69,O79)</f>
        <v>0</v>
      </c>
      <c r="G79" s="4" t="s">
        <v>86</v>
      </c>
      <c r="H79" s="4" t="s">
        <v>87</v>
      </c>
      <c r="I79" s="4"/>
      <c r="J79" s="4"/>
      <c r="K79" s="4">
        <v>223</v>
      </c>
      <c r="L79" s="4">
        <v>9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0</v>
      </c>
      <c r="X79" s="4">
        <v>1</v>
      </c>
      <c r="Y79" s="4">
        <v>0</v>
      </c>
      <c r="Z79" s="4"/>
      <c r="AA79" s="4"/>
      <c r="AB79" s="4"/>
    </row>
    <row r="80" spans="1:206" x14ac:dyDescent="0.25">
      <c r="A80" s="4">
        <v>50</v>
      </c>
      <c r="B80" s="4">
        <v>0</v>
      </c>
      <c r="C80" s="4">
        <v>0</v>
      </c>
      <c r="D80" s="4">
        <v>1</v>
      </c>
      <c r="E80" s="4">
        <v>229</v>
      </c>
      <c r="F80" s="4">
        <f>ROUND(Source!AZ69,O80)</f>
        <v>0</v>
      </c>
      <c r="G80" s="4" t="s">
        <v>88</v>
      </c>
      <c r="H80" s="4" t="s">
        <v>89</v>
      </c>
      <c r="I80" s="4"/>
      <c r="J80" s="4"/>
      <c r="K80" s="4">
        <v>229</v>
      </c>
      <c r="L80" s="4">
        <v>10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0</v>
      </c>
      <c r="X80" s="4">
        <v>1</v>
      </c>
      <c r="Y80" s="4">
        <v>0</v>
      </c>
      <c r="Z80" s="4"/>
      <c r="AA80" s="4"/>
      <c r="AB80" s="4"/>
    </row>
    <row r="81" spans="1:28" x14ac:dyDescent="0.25">
      <c r="A81" s="4">
        <v>50</v>
      </c>
      <c r="B81" s="4">
        <v>0</v>
      </c>
      <c r="C81" s="4">
        <v>0</v>
      </c>
      <c r="D81" s="4">
        <v>1</v>
      </c>
      <c r="E81" s="4">
        <v>203</v>
      </c>
      <c r="F81" s="4">
        <f>ROUND(Source!Q69,O81)</f>
        <v>731682.63</v>
      </c>
      <c r="G81" s="4" t="s">
        <v>90</v>
      </c>
      <c r="H81" s="4" t="s">
        <v>91</v>
      </c>
      <c r="I81" s="4"/>
      <c r="J81" s="4"/>
      <c r="K81" s="4">
        <v>203</v>
      </c>
      <c r="L81" s="4">
        <v>11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731682.63</v>
      </c>
      <c r="X81" s="4">
        <v>1</v>
      </c>
      <c r="Y81" s="4">
        <v>731682.63</v>
      </c>
      <c r="Z81" s="4"/>
      <c r="AA81" s="4"/>
      <c r="AB81" s="4"/>
    </row>
    <row r="82" spans="1:28" x14ac:dyDescent="0.25">
      <c r="A82" s="4">
        <v>50</v>
      </c>
      <c r="B82" s="4">
        <v>0</v>
      </c>
      <c r="C82" s="4">
        <v>0</v>
      </c>
      <c r="D82" s="4">
        <v>1</v>
      </c>
      <c r="E82" s="4">
        <v>231</v>
      </c>
      <c r="F82" s="4">
        <f>ROUND(Source!BB69,O82)</f>
        <v>0</v>
      </c>
      <c r="G82" s="4" t="s">
        <v>92</v>
      </c>
      <c r="H82" s="4" t="s">
        <v>93</v>
      </c>
      <c r="I82" s="4"/>
      <c r="J82" s="4"/>
      <c r="K82" s="4">
        <v>231</v>
      </c>
      <c r="L82" s="4">
        <v>12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28" x14ac:dyDescent="0.25">
      <c r="A83" s="4">
        <v>50</v>
      </c>
      <c r="B83" s="4">
        <v>0</v>
      </c>
      <c r="C83" s="4">
        <v>0</v>
      </c>
      <c r="D83" s="4">
        <v>1</v>
      </c>
      <c r="E83" s="4">
        <v>204</v>
      </c>
      <c r="F83" s="4">
        <f>ROUND(Source!R69,O83)</f>
        <v>329996.52</v>
      </c>
      <c r="G83" s="4" t="s">
        <v>94</v>
      </c>
      <c r="H83" s="4" t="s">
        <v>95</v>
      </c>
      <c r="I83" s="4"/>
      <c r="J83" s="4"/>
      <c r="K83" s="4">
        <v>204</v>
      </c>
      <c r="L83" s="4">
        <v>13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329996.52</v>
      </c>
      <c r="X83" s="4">
        <v>1</v>
      </c>
      <c r="Y83" s="4">
        <v>329996.52</v>
      </c>
      <c r="Z83" s="4"/>
      <c r="AA83" s="4"/>
      <c r="AB83" s="4"/>
    </row>
    <row r="84" spans="1:28" x14ac:dyDescent="0.25">
      <c r="A84" s="4">
        <v>50</v>
      </c>
      <c r="B84" s="4">
        <v>0</v>
      </c>
      <c r="C84" s="4">
        <v>0</v>
      </c>
      <c r="D84" s="4">
        <v>1</v>
      </c>
      <c r="E84" s="4">
        <v>205</v>
      </c>
      <c r="F84" s="4">
        <f>ROUND(Source!S69,O84)</f>
        <v>637696</v>
      </c>
      <c r="G84" s="4" t="s">
        <v>96</v>
      </c>
      <c r="H84" s="4" t="s">
        <v>97</v>
      </c>
      <c r="I84" s="4"/>
      <c r="J84" s="4"/>
      <c r="K84" s="4">
        <v>205</v>
      </c>
      <c r="L84" s="4">
        <v>14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637696</v>
      </c>
      <c r="X84" s="4">
        <v>1</v>
      </c>
      <c r="Y84" s="4">
        <v>637696</v>
      </c>
      <c r="Z84" s="4"/>
      <c r="AA84" s="4"/>
      <c r="AB84" s="4"/>
    </row>
    <row r="85" spans="1:28" x14ac:dyDescent="0.25">
      <c r="A85" s="4">
        <v>50</v>
      </c>
      <c r="B85" s="4">
        <v>0</v>
      </c>
      <c r="C85" s="4">
        <v>0</v>
      </c>
      <c r="D85" s="4">
        <v>1</v>
      </c>
      <c r="E85" s="4">
        <v>232</v>
      </c>
      <c r="F85" s="4">
        <f>ROUND(Source!BC69,O85)</f>
        <v>0</v>
      </c>
      <c r="G85" s="4" t="s">
        <v>98</v>
      </c>
      <c r="H85" s="4" t="s">
        <v>99</v>
      </c>
      <c r="I85" s="4"/>
      <c r="J85" s="4"/>
      <c r="K85" s="4">
        <v>232</v>
      </c>
      <c r="L85" s="4">
        <v>15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28" x14ac:dyDescent="0.25">
      <c r="A86" s="4">
        <v>50</v>
      </c>
      <c r="B86" s="4">
        <v>0</v>
      </c>
      <c r="C86" s="4">
        <v>0</v>
      </c>
      <c r="D86" s="4">
        <v>1</v>
      </c>
      <c r="E86" s="4">
        <v>214</v>
      </c>
      <c r="F86" s="4">
        <f>ROUND(Source!AS69,O86)</f>
        <v>0</v>
      </c>
      <c r="G86" s="4" t="s">
        <v>100</v>
      </c>
      <c r="H86" s="4" t="s">
        <v>101</v>
      </c>
      <c r="I86" s="4"/>
      <c r="J86" s="4"/>
      <c r="K86" s="4">
        <v>214</v>
      </c>
      <c r="L86" s="4">
        <v>16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28" x14ac:dyDescent="0.25">
      <c r="A87" s="4">
        <v>50</v>
      </c>
      <c r="B87" s="4">
        <v>0</v>
      </c>
      <c r="C87" s="4">
        <v>0</v>
      </c>
      <c r="D87" s="4">
        <v>1</v>
      </c>
      <c r="E87" s="4">
        <v>215</v>
      </c>
      <c r="F87" s="4">
        <f>ROUND(Source!AT69,O87)</f>
        <v>0</v>
      </c>
      <c r="G87" s="4" t="s">
        <v>102</v>
      </c>
      <c r="H87" s="4" t="s">
        <v>103</v>
      </c>
      <c r="I87" s="4"/>
      <c r="J87" s="4"/>
      <c r="K87" s="4">
        <v>215</v>
      </c>
      <c r="L87" s="4">
        <v>17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28" x14ac:dyDescent="0.25">
      <c r="A88" s="4">
        <v>50</v>
      </c>
      <c r="B88" s="4">
        <v>0</v>
      </c>
      <c r="C88" s="4">
        <v>0</v>
      </c>
      <c r="D88" s="4">
        <v>1</v>
      </c>
      <c r="E88" s="4">
        <v>217</v>
      </c>
      <c r="F88" s="4">
        <f>ROUND(Source!AU69,O88)</f>
        <v>2122941.9700000002</v>
      </c>
      <c r="G88" s="4" t="s">
        <v>104</v>
      </c>
      <c r="H88" s="4" t="s">
        <v>105</v>
      </c>
      <c r="I88" s="4"/>
      <c r="J88" s="4"/>
      <c r="K88" s="4">
        <v>217</v>
      </c>
      <c r="L88" s="4">
        <v>18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2122941.9700000002</v>
      </c>
      <c r="X88" s="4">
        <v>1</v>
      </c>
      <c r="Y88" s="4">
        <v>2122941.9700000002</v>
      </c>
      <c r="Z88" s="4"/>
      <c r="AA88" s="4"/>
      <c r="AB88" s="4"/>
    </row>
    <row r="89" spans="1:28" x14ac:dyDescent="0.25">
      <c r="A89" s="4">
        <v>50</v>
      </c>
      <c r="B89" s="4">
        <v>0</v>
      </c>
      <c r="C89" s="4">
        <v>0</v>
      </c>
      <c r="D89" s="4">
        <v>1</v>
      </c>
      <c r="E89" s="4">
        <v>230</v>
      </c>
      <c r="F89" s="4">
        <f>ROUND(Source!BA69,O89)</f>
        <v>0</v>
      </c>
      <c r="G89" s="4" t="s">
        <v>106</v>
      </c>
      <c r="H89" s="4" t="s">
        <v>107</v>
      </c>
      <c r="I89" s="4"/>
      <c r="J89" s="4"/>
      <c r="K89" s="4">
        <v>230</v>
      </c>
      <c r="L89" s="4">
        <v>19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0</v>
      </c>
      <c r="X89" s="4">
        <v>1</v>
      </c>
      <c r="Y89" s="4">
        <v>0</v>
      </c>
      <c r="Z89" s="4"/>
      <c r="AA89" s="4"/>
      <c r="AB89" s="4"/>
    </row>
    <row r="90" spans="1:28" x14ac:dyDescent="0.25">
      <c r="A90" s="4">
        <v>50</v>
      </c>
      <c r="B90" s="4">
        <v>0</v>
      </c>
      <c r="C90" s="4">
        <v>0</v>
      </c>
      <c r="D90" s="4">
        <v>1</v>
      </c>
      <c r="E90" s="4">
        <v>206</v>
      </c>
      <c r="F90" s="4">
        <f>ROUND(Source!T69,O90)</f>
        <v>0</v>
      </c>
      <c r="G90" s="4" t="s">
        <v>108</v>
      </c>
      <c r="H90" s="4" t="s">
        <v>109</v>
      </c>
      <c r="I90" s="4"/>
      <c r="J90" s="4"/>
      <c r="K90" s="4">
        <v>206</v>
      </c>
      <c r="L90" s="4">
        <v>20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28" x14ac:dyDescent="0.25">
      <c r="A91" s="4">
        <v>50</v>
      </c>
      <c r="B91" s="4">
        <v>0</v>
      </c>
      <c r="C91" s="4">
        <v>0</v>
      </c>
      <c r="D91" s="4">
        <v>1</v>
      </c>
      <c r="E91" s="4">
        <v>207</v>
      </c>
      <c r="F91" s="4">
        <f>Source!U69</f>
        <v>1340.9131150000003</v>
      </c>
      <c r="G91" s="4" t="s">
        <v>110</v>
      </c>
      <c r="H91" s="4" t="s">
        <v>111</v>
      </c>
      <c r="I91" s="4"/>
      <c r="J91" s="4"/>
      <c r="K91" s="4">
        <v>207</v>
      </c>
      <c r="L91" s="4">
        <v>21</v>
      </c>
      <c r="M91" s="4">
        <v>3</v>
      </c>
      <c r="N91" s="4" t="s">
        <v>3</v>
      </c>
      <c r="O91" s="4">
        <v>-1</v>
      </c>
      <c r="P91" s="4"/>
      <c r="Q91" s="4"/>
      <c r="R91" s="4"/>
      <c r="S91" s="4"/>
      <c r="T91" s="4"/>
      <c r="U91" s="4"/>
      <c r="V91" s="4"/>
      <c r="W91" s="4">
        <v>1340.9131150000001</v>
      </c>
      <c r="X91" s="4">
        <v>1</v>
      </c>
      <c r="Y91" s="4">
        <v>1340.9131150000001</v>
      </c>
      <c r="Z91" s="4"/>
      <c r="AA91" s="4"/>
      <c r="AB91" s="4"/>
    </row>
    <row r="92" spans="1:28" x14ac:dyDescent="0.25">
      <c r="A92" s="4">
        <v>50</v>
      </c>
      <c r="B92" s="4">
        <v>0</v>
      </c>
      <c r="C92" s="4">
        <v>0</v>
      </c>
      <c r="D92" s="4">
        <v>1</v>
      </c>
      <c r="E92" s="4">
        <v>208</v>
      </c>
      <c r="F92" s="4">
        <f>Source!V69</f>
        <v>0</v>
      </c>
      <c r="G92" s="4" t="s">
        <v>112</v>
      </c>
      <c r="H92" s="4" t="s">
        <v>113</v>
      </c>
      <c r="I92" s="4"/>
      <c r="J92" s="4"/>
      <c r="K92" s="4">
        <v>208</v>
      </c>
      <c r="L92" s="4">
        <v>22</v>
      </c>
      <c r="M92" s="4">
        <v>3</v>
      </c>
      <c r="N92" s="4" t="s">
        <v>3</v>
      </c>
      <c r="O92" s="4">
        <v>-1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8" x14ac:dyDescent="0.25">
      <c r="A93" s="4">
        <v>50</v>
      </c>
      <c r="B93" s="4">
        <v>0</v>
      </c>
      <c r="C93" s="4">
        <v>0</v>
      </c>
      <c r="D93" s="4">
        <v>1</v>
      </c>
      <c r="E93" s="4">
        <v>209</v>
      </c>
      <c r="F93" s="4">
        <f>ROUND(Source!W69,O93)</f>
        <v>0</v>
      </c>
      <c r="G93" s="4" t="s">
        <v>114</v>
      </c>
      <c r="H93" s="4" t="s">
        <v>115</v>
      </c>
      <c r="I93" s="4"/>
      <c r="J93" s="4"/>
      <c r="K93" s="4">
        <v>209</v>
      </c>
      <c r="L93" s="4">
        <v>23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8" x14ac:dyDescent="0.25">
      <c r="A94" s="4">
        <v>50</v>
      </c>
      <c r="B94" s="4">
        <v>0</v>
      </c>
      <c r="C94" s="4">
        <v>0</v>
      </c>
      <c r="D94" s="4">
        <v>1</v>
      </c>
      <c r="E94" s="4">
        <v>233</v>
      </c>
      <c r="F94" s="4">
        <f>ROUND(Source!BD69,O94)</f>
        <v>0</v>
      </c>
      <c r="G94" s="4" t="s">
        <v>116</v>
      </c>
      <c r="H94" s="4" t="s">
        <v>117</v>
      </c>
      <c r="I94" s="4"/>
      <c r="J94" s="4"/>
      <c r="K94" s="4">
        <v>233</v>
      </c>
      <c r="L94" s="4">
        <v>24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8" x14ac:dyDescent="0.25">
      <c r="A95" s="4">
        <v>50</v>
      </c>
      <c r="B95" s="4">
        <v>0</v>
      </c>
      <c r="C95" s="4">
        <v>0</v>
      </c>
      <c r="D95" s="4">
        <v>1</v>
      </c>
      <c r="E95" s="4">
        <v>210</v>
      </c>
      <c r="F95" s="4">
        <f>ROUND(Source!X69,O95)</f>
        <v>446387.20000000001</v>
      </c>
      <c r="G95" s="4" t="s">
        <v>118</v>
      </c>
      <c r="H95" s="4" t="s">
        <v>119</v>
      </c>
      <c r="I95" s="4"/>
      <c r="J95" s="4"/>
      <c r="K95" s="4">
        <v>210</v>
      </c>
      <c r="L95" s="4">
        <v>25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446387.20000000001</v>
      </c>
      <c r="X95" s="4">
        <v>1</v>
      </c>
      <c r="Y95" s="4">
        <v>446387.20000000001</v>
      </c>
      <c r="Z95" s="4"/>
      <c r="AA95" s="4"/>
      <c r="AB95" s="4"/>
    </row>
    <row r="96" spans="1:28" x14ac:dyDescent="0.25">
      <c r="A96" s="4">
        <v>50</v>
      </c>
      <c r="B96" s="4">
        <v>0</v>
      </c>
      <c r="C96" s="4">
        <v>0</v>
      </c>
      <c r="D96" s="4">
        <v>1</v>
      </c>
      <c r="E96" s="4">
        <v>211</v>
      </c>
      <c r="F96" s="4">
        <f>ROUND(Source!Y69,O96)</f>
        <v>63769.599999999999</v>
      </c>
      <c r="G96" s="4" t="s">
        <v>120</v>
      </c>
      <c r="H96" s="4" t="s">
        <v>121</v>
      </c>
      <c r="I96" s="4"/>
      <c r="J96" s="4"/>
      <c r="K96" s="4">
        <v>211</v>
      </c>
      <c r="L96" s="4">
        <v>26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63769.599999999999</v>
      </c>
      <c r="X96" s="4">
        <v>1</v>
      </c>
      <c r="Y96" s="4">
        <v>63769.599999999999</v>
      </c>
      <c r="Z96" s="4"/>
      <c r="AA96" s="4"/>
      <c r="AB96" s="4"/>
    </row>
    <row r="97" spans="1:28" x14ac:dyDescent="0.25">
      <c r="A97" s="4">
        <v>50</v>
      </c>
      <c r="B97" s="4">
        <v>0</v>
      </c>
      <c r="C97" s="4">
        <v>0</v>
      </c>
      <c r="D97" s="4">
        <v>1</v>
      </c>
      <c r="E97" s="4">
        <v>0</v>
      </c>
      <c r="F97" s="4">
        <f>ROUND(Source!AR69,O97)</f>
        <v>2122941.9700000002</v>
      </c>
      <c r="G97" s="4" t="s">
        <v>122</v>
      </c>
      <c r="H97" s="4" t="s">
        <v>123</v>
      </c>
      <c r="I97" s="4"/>
      <c r="J97" s="4"/>
      <c r="K97" s="4">
        <v>224</v>
      </c>
      <c r="L97" s="4">
        <v>27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2122941.9700000002</v>
      </c>
      <c r="X97" s="4">
        <v>1</v>
      </c>
      <c r="Y97" s="4">
        <v>2122941.9700000002</v>
      </c>
      <c r="Z97" s="4"/>
      <c r="AA97" s="4"/>
      <c r="AB97" s="4"/>
    </row>
    <row r="98" spans="1:28" x14ac:dyDescent="0.25">
      <c r="A98" s="4">
        <v>50</v>
      </c>
      <c r="B98" s="4">
        <v>1</v>
      </c>
      <c r="C98" s="4">
        <v>0</v>
      </c>
      <c r="D98" s="4">
        <v>2</v>
      </c>
      <c r="E98" s="4">
        <v>0</v>
      </c>
      <c r="F98" s="4">
        <f>ROUND(F97*0.2,O98)</f>
        <v>424588.39</v>
      </c>
      <c r="G98" s="4" t="s">
        <v>124</v>
      </c>
      <c r="H98" s="4" t="s">
        <v>125</v>
      </c>
      <c r="I98" s="4"/>
      <c r="J98" s="4"/>
      <c r="K98" s="4">
        <v>212</v>
      </c>
      <c r="L98" s="4">
        <v>28</v>
      </c>
      <c r="M98" s="4">
        <v>0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424588.39</v>
      </c>
      <c r="X98" s="4">
        <v>1</v>
      </c>
      <c r="Y98" s="4">
        <v>424588.39</v>
      </c>
      <c r="Z98" s="4"/>
      <c r="AA98" s="4"/>
      <c r="AB98" s="4"/>
    </row>
    <row r="99" spans="1:28" x14ac:dyDescent="0.25">
      <c r="A99" s="4">
        <v>50</v>
      </c>
      <c r="B99" s="4">
        <v>1</v>
      </c>
      <c r="C99" s="4">
        <v>0</v>
      </c>
      <c r="D99" s="4">
        <v>2</v>
      </c>
      <c r="E99" s="4">
        <v>224</v>
      </c>
      <c r="F99" s="4">
        <f>ROUND(F97+F98,O99)</f>
        <v>2547530.36</v>
      </c>
      <c r="G99" s="4" t="s">
        <v>126</v>
      </c>
      <c r="H99" s="4" t="s">
        <v>127</v>
      </c>
      <c r="I99" s="4"/>
      <c r="J99" s="4"/>
      <c r="K99" s="4">
        <v>212</v>
      </c>
      <c r="L99" s="4">
        <v>29</v>
      </c>
      <c r="M99" s="4">
        <v>0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2547530.36</v>
      </c>
      <c r="X99" s="4">
        <v>1</v>
      </c>
      <c r="Y99" s="4">
        <v>2547530.36</v>
      </c>
      <c r="Z99" s="4"/>
      <c r="AA99" s="4"/>
      <c r="AB99" s="4"/>
    </row>
    <row r="102" spans="1:28" x14ac:dyDescent="0.25">
      <c r="A102">
        <v>-1</v>
      </c>
    </row>
    <row r="104" spans="1:28" x14ac:dyDescent="0.25">
      <c r="A104" s="3">
        <v>75</v>
      </c>
      <c r="B104" s="3" t="s">
        <v>128</v>
      </c>
      <c r="C104" s="3">
        <v>2025</v>
      </c>
      <c r="D104" s="3">
        <v>0</v>
      </c>
      <c r="E104" s="3">
        <v>4</v>
      </c>
      <c r="F104" s="3"/>
      <c r="G104" s="3">
        <v>0</v>
      </c>
      <c r="H104" s="3">
        <v>1</v>
      </c>
      <c r="I104" s="3">
        <v>0</v>
      </c>
      <c r="J104" s="3">
        <v>1</v>
      </c>
      <c r="K104" s="3">
        <v>78</v>
      </c>
      <c r="L104" s="3">
        <v>30</v>
      </c>
      <c r="M104" s="3">
        <v>0</v>
      </c>
      <c r="N104" s="3">
        <v>48805144</v>
      </c>
      <c r="O104" s="3">
        <v>1</v>
      </c>
    </row>
    <row r="108" spans="1:28" x14ac:dyDescent="0.25">
      <c r="A108">
        <v>65</v>
      </c>
      <c r="C108">
        <v>1</v>
      </c>
      <c r="D108">
        <v>0</v>
      </c>
      <c r="E108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C53"/>
  <sheetViews>
    <sheetView workbookViewId="0"/>
  </sheetViews>
  <sheetFormatPr defaultColWidth="9.109375" defaultRowHeight="13.2" x14ac:dyDescent="0.25"/>
  <cols>
    <col min="1" max="256" width="9.109375" customWidth="1"/>
  </cols>
  <sheetData>
    <row r="1" spans="1:133" x14ac:dyDescent="0.25">
      <c r="A1">
        <v>0</v>
      </c>
      <c r="B1" t="s">
        <v>0</v>
      </c>
      <c r="D1" t="s">
        <v>129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45596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33" x14ac:dyDescent="0.25">
      <c r="A12" s="1">
        <v>1</v>
      </c>
      <c r="B12" s="1">
        <v>53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5">
      <c r="A14" s="1">
        <v>22</v>
      </c>
      <c r="B14" s="1">
        <v>1</v>
      </c>
      <c r="C14" s="1">
        <v>0</v>
      </c>
      <c r="D14" s="1">
        <v>48805144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5">
      <c r="A16" s="5">
        <v>3</v>
      </c>
      <c r="B16" s="5">
        <v>0</v>
      </c>
      <c r="C16" s="5" t="s">
        <v>12</v>
      </c>
      <c r="D16" s="5" t="s">
        <v>12</v>
      </c>
      <c r="E16" s="6">
        <f>ROUND((Source!F54)/1000,2)</f>
        <v>0</v>
      </c>
      <c r="F16" s="6">
        <f>ROUND((Source!F55)/1000,2)</f>
        <v>0</v>
      </c>
      <c r="G16" s="6">
        <f>ROUND((Source!F46)/1000,2)</f>
        <v>0</v>
      </c>
      <c r="H16" s="6">
        <f>ROUND((Source!F56)/1000+(Source!F57)/1000,2)</f>
        <v>2122.94</v>
      </c>
      <c r="I16" s="6">
        <f>E16+F16+G16+H16</f>
        <v>2122.94</v>
      </c>
      <c r="J16" s="6">
        <f>ROUND((Source!F52+Source!F51)/1000,2)</f>
        <v>967.69</v>
      </c>
      <c r="AI16" s="5">
        <v>0</v>
      </c>
      <c r="AJ16" s="5">
        <v>0</v>
      </c>
      <c r="AK16" s="5" t="s">
        <v>3</v>
      </c>
      <c r="AL16" s="5" t="s">
        <v>3</v>
      </c>
      <c r="AM16" s="5" t="s">
        <v>3</v>
      </c>
      <c r="AN16" s="5">
        <v>0</v>
      </c>
      <c r="AO16" s="5" t="s">
        <v>3</v>
      </c>
      <c r="AP16" s="5" t="s">
        <v>3</v>
      </c>
      <c r="AT16" s="6">
        <v>1373108.57</v>
      </c>
      <c r="AU16" s="6">
        <v>3729.94</v>
      </c>
      <c r="AV16" s="6">
        <v>0</v>
      </c>
      <c r="AW16" s="6">
        <v>0</v>
      </c>
      <c r="AX16" s="6">
        <v>0</v>
      </c>
      <c r="AY16" s="6">
        <v>731682.63</v>
      </c>
      <c r="AZ16" s="6">
        <v>329996.52</v>
      </c>
      <c r="BA16" s="6">
        <v>637696</v>
      </c>
      <c r="BB16" s="6">
        <v>0</v>
      </c>
      <c r="BC16" s="6">
        <v>0</v>
      </c>
      <c r="BD16" s="6">
        <v>2122941.9700000002</v>
      </c>
      <c r="BE16" s="6">
        <v>0</v>
      </c>
      <c r="BF16" s="6">
        <v>1340.9131150000001</v>
      </c>
      <c r="BG16" s="6">
        <v>0</v>
      </c>
      <c r="BH16" s="6">
        <v>0</v>
      </c>
      <c r="BI16" s="6">
        <v>446387.20000000001</v>
      </c>
      <c r="BJ16" s="6">
        <v>63769.599999999999</v>
      </c>
      <c r="BK16" s="6">
        <v>2547530.36</v>
      </c>
    </row>
    <row r="18" spans="1:19" x14ac:dyDescent="0.25">
      <c r="A18">
        <v>51</v>
      </c>
      <c r="E18" s="7">
        <f>SUMIF(A16:A17,3,E16:E17)</f>
        <v>0</v>
      </c>
      <c r="F18" s="7">
        <f>SUMIF(A16:A17,3,F16:F17)</f>
        <v>0</v>
      </c>
      <c r="G18" s="7">
        <f>SUMIF(A16:A17,3,G16:G17)</f>
        <v>0</v>
      </c>
      <c r="H18" s="7">
        <f>SUMIF(A16:A17,3,H16:H17)</f>
        <v>2122.94</v>
      </c>
      <c r="I18" s="7">
        <f>SUMIF(A16:A17,3,I16:I17)</f>
        <v>2122.94</v>
      </c>
      <c r="J18" s="7">
        <f>SUMIF(A16:A17,3,J16:J17)</f>
        <v>967.69</v>
      </c>
      <c r="K18" s="7"/>
      <c r="L18" s="7"/>
      <c r="M18" s="7"/>
      <c r="N18" s="7"/>
      <c r="O18" s="7"/>
      <c r="P18" s="7"/>
      <c r="Q18" s="7"/>
      <c r="R18" s="7"/>
      <c r="S18" s="7"/>
    </row>
    <row r="20" spans="1:19" x14ac:dyDescent="0.25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1373108.57</v>
      </c>
      <c r="G20" s="4" t="s">
        <v>70</v>
      </c>
      <c r="H20" s="4" t="s">
        <v>71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5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3729.94</v>
      </c>
      <c r="G21" s="4" t="s">
        <v>72</v>
      </c>
      <c r="H21" s="4" t="s">
        <v>73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5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74</v>
      </c>
      <c r="H22" s="4" t="s">
        <v>75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5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3729.94</v>
      </c>
      <c r="G23" s="4" t="s">
        <v>76</v>
      </c>
      <c r="H23" s="4" t="s">
        <v>77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5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3729.94</v>
      </c>
      <c r="G24" s="4" t="s">
        <v>78</v>
      </c>
      <c r="H24" s="4" t="s">
        <v>79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5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80</v>
      </c>
      <c r="H25" s="4" t="s">
        <v>81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5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3729.94</v>
      </c>
      <c r="G26" s="4" t="s">
        <v>82</v>
      </c>
      <c r="H26" s="4" t="s">
        <v>83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5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84</v>
      </c>
      <c r="H27" s="4" t="s">
        <v>85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5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86</v>
      </c>
      <c r="H28" s="4" t="s">
        <v>87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5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88</v>
      </c>
      <c r="H29" s="4" t="s">
        <v>89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5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731682.63</v>
      </c>
      <c r="G30" s="4" t="s">
        <v>90</v>
      </c>
      <c r="H30" s="4" t="s">
        <v>91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5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92</v>
      </c>
      <c r="H31" s="4" t="s">
        <v>93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5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329996.52</v>
      </c>
      <c r="G32" s="4" t="s">
        <v>94</v>
      </c>
      <c r="H32" s="4" t="s">
        <v>95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5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637696</v>
      </c>
      <c r="G33" s="4" t="s">
        <v>96</v>
      </c>
      <c r="H33" s="4" t="s">
        <v>97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5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98</v>
      </c>
      <c r="H34" s="4" t="s">
        <v>99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5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100</v>
      </c>
      <c r="H35" s="4" t="s">
        <v>101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5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102</v>
      </c>
      <c r="H36" s="4" t="s">
        <v>103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5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2122941.9700000002</v>
      </c>
      <c r="G37" s="4" t="s">
        <v>104</v>
      </c>
      <c r="H37" s="4" t="s">
        <v>105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5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106</v>
      </c>
      <c r="H38" s="4" t="s">
        <v>107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5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108</v>
      </c>
      <c r="H39" s="4" t="s">
        <v>109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5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1340.9131150000001</v>
      </c>
      <c r="G40" s="4" t="s">
        <v>110</v>
      </c>
      <c r="H40" s="4" t="s">
        <v>111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5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112</v>
      </c>
      <c r="H41" s="4" t="s">
        <v>113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5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114</v>
      </c>
      <c r="H42" s="4" t="s">
        <v>115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5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116</v>
      </c>
      <c r="H43" s="4" t="s">
        <v>117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5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446387.20000000001</v>
      </c>
      <c r="G44" s="4" t="s">
        <v>118</v>
      </c>
      <c r="H44" s="4" t="s">
        <v>119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5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63769.599999999999</v>
      </c>
      <c r="G45" s="4" t="s">
        <v>120</v>
      </c>
      <c r="H45" s="4" t="s">
        <v>121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5">
      <c r="A46" s="4">
        <v>50</v>
      </c>
      <c r="B46" s="4">
        <v>0</v>
      </c>
      <c r="C46" s="4">
        <v>0</v>
      </c>
      <c r="D46" s="4">
        <v>1</v>
      </c>
      <c r="E46" s="4">
        <v>0</v>
      </c>
      <c r="F46" s="4">
        <v>2122941.9700000002</v>
      </c>
      <c r="G46" s="4" t="s">
        <v>122</v>
      </c>
      <c r="H46" s="4" t="s">
        <v>123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5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424588.39</v>
      </c>
      <c r="G47" s="4" t="s">
        <v>124</v>
      </c>
      <c r="H47" s="4" t="s">
        <v>125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5">
      <c r="A48" s="4">
        <v>50</v>
      </c>
      <c r="B48" s="4">
        <v>1</v>
      </c>
      <c r="C48" s="4">
        <v>0</v>
      </c>
      <c r="D48" s="4">
        <v>2</v>
      </c>
      <c r="E48" s="4">
        <v>224</v>
      </c>
      <c r="F48" s="4">
        <v>2547530.36</v>
      </c>
      <c r="G48" s="4" t="s">
        <v>126</v>
      </c>
      <c r="H48" s="4" t="s">
        <v>127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50" spans="1:15" x14ac:dyDescent="0.25">
      <c r="A50">
        <v>-1</v>
      </c>
    </row>
    <row r="53" spans="1:15" x14ac:dyDescent="0.25">
      <c r="A53" s="3">
        <v>75</v>
      </c>
      <c r="B53" s="3" t="s">
        <v>128</v>
      </c>
      <c r="C53" s="3">
        <v>2025</v>
      </c>
      <c r="D53" s="3">
        <v>0</v>
      </c>
      <c r="E53" s="3">
        <v>4</v>
      </c>
      <c r="F53" s="3"/>
      <c r="G53" s="3">
        <v>0</v>
      </c>
      <c r="H53" s="3">
        <v>1</v>
      </c>
      <c r="I53" s="3">
        <v>0</v>
      </c>
      <c r="J53" s="3">
        <v>1</v>
      </c>
      <c r="K53" s="3">
        <v>78</v>
      </c>
      <c r="L53" s="3">
        <v>30</v>
      </c>
      <c r="M53" s="3">
        <v>0</v>
      </c>
      <c r="N53" s="3">
        <v>48805144</v>
      </c>
      <c r="O53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10</vt:i4>
      </vt:variant>
    </vt:vector>
  </HeadingPairs>
  <TitlesOfParts>
    <vt:vector size="23" baseType="lpstr">
      <vt:lpstr>Смета СН-2012 по гл. 1-5</vt:lpstr>
      <vt:lpstr>Ведомость объемов работ</vt:lpstr>
      <vt:lpstr>Дефектная ведомость</vt:lpstr>
      <vt:lpstr>Акт КС-2 СН-2012 по гл. 1-</vt:lpstr>
      <vt:lpstr>RV_DATA</vt:lpstr>
      <vt:lpstr>Расчет стоимости ресурсов</vt:lpstr>
      <vt:lpstr>Макет форма-3</vt:lpstr>
      <vt:lpstr>Source</vt:lpstr>
      <vt:lpstr>SourceObSm</vt:lpstr>
      <vt:lpstr>SmtRes</vt:lpstr>
      <vt:lpstr>EtalonRes</vt:lpstr>
      <vt:lpstr>SrcPoprs</vt:lpstr>
      <vt:lpstr>SrcKA</vt:lpstr>
      <vt:lpstr>'Акт КС-2 СН-2012 по гл. 1-'!Заголовки_для_печати</vt:lpstr>
      <vt:lpstr>'Ведомость объемов работ'!Заголовки_для_печати</vt:lpstr>
      <vt:lpstr>'Дефектная ведомость'!Заголовки_для_печати</vt:lpstr>
      <vt:lpstr>'Расчет стоимости ресурсов'!Заголовки_для_печати</vt:lpstr>
      <vt:lpstr>'Смета СН-2012 по гл. 1-5'!Заголовки_для_печати</vt:lpstr>
      <vt:lpstr>'Акт КС-2 СН-2012 по гл. 1-'!Область_печати</vt:lpstr>
      <vt:lpstr>'Ведомость объемов работ'!Область_печати</vt:lpstr>
      <vt:lpstr>'Дефектная ведомость'!Область_печати</vt:lpstr>
      <vt:lpstr>'Расчет стоимости ресурсов'!Область_печати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Шукаль Екатерина</dc:creator>
  <cp:lastModifiedBy>Анатолий</cp:lastModifiedBy>
  <cp:lastPrinted>2025-09-26T13:35:18Z</cp:lastPrinted>
  <dcterms:created xsi:type="dcterms:W3CDTF">2025-07-18T10:56:56Z</dcterms:created>
  <dcterms:modified xsi:type="dcterms:W3CDTF">2025-11-01T11:09:04Z</dcterms:modified>
</cp:coreProperties>
</file>